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00" activeTab="3"/>
  </bookViews>
  <sheets>
    <sheet name="kritéria" sheetId="1" r:id="rId1"/>
    <sheet name="3" sheetId="2" r:id="rId2"/>
    <sheet name="4" sheetId="3" r:id="rId3"/>
    <sheet name="5" sheetId="4" r:id="rId4"/>
    <sheet name="6" sheetId="5" r:id="rId5"/>
    <sheet name="6A" sheetId="6" r:id="rId6"/>
    <sheet name="6B" sheetId="7" r:id="rId7"/>
    <sheet name="7A" sheetId="8" r:id="rId8"/>
    <sheet name="7B" sheetId="9" r:id="rId9"/>
    <sheet name="7C" sheetId="10" r:id="rId10"/>
    <sheet name="8A" sheetId="11" r:id="rId11"/>
    <sheet name="8B" sheetId="12" r:id="rId12"/>
    <sheet name="9A" sheetId="13" r:id="rId13"/>
    <sheet name="9B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R5" authorId="0">
      <text>
        <r>
          <rPr>
            <b/>
            <sz val="8"/>
            <rFont val="Tahoma"/>
            <family val="0"/>
          </rPr>
          <t>zadej
bodování</t>
        </r>
      </text>
    </comment>
    <comment ref="N11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11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Y26" authorId="0">
      <text>
        <r>
          <rPr>
            <b/>
            <sz val="8"/>
            <rFont val="Tahoma"/>
            <family val="0"/>
          </rPr>
          <t>párové
pořadí</t>
        </r>
      </text>
    </comment>
    <comment ref="Y27" authorId="0">
      <text>
        <r>
          <rPr>
            <b/>
            <sz val="8"/>
            <rFont val="Tahoma"/>
            <family val="0"/>
          </rPr>
          <t>řádek
1. párového</t>
        </r>
      </text>
    </comment>
    <comment ref="Y28" authorId="0">
      <text>
        <r>
          <rPr>
            <b/>
            <sz val="8"/>
            <rFont val="Tahoma"/>
            <family val="0"/>
          </rPr>
          <t>řádek
2. párového</t>
        </r>
      </text>
    </comment>
    <comment ref="Y29" authorId="0">
      <text>
        <r>
          <rPr>
            <b/>
            <sz val="8"/>
            <rFont val="Tahoma"/>
            <family val="0"/>
          </rPr>
          <t>soupeři
(utkání)</t>
        </r>
      </text>
    </comment>
    <comment ref="Y30" authorId="0">
      <text>
        <r>
          <rPr>
            <b/>
            <sz val="8"/>
            <rFont val="Tahoma"/>
            <family val="0"/>
          </rPr>
          <t>pořadí
utkání</t>
        </r>
      </text>
    </comment>
    <comment ref="Y31" authorId="0">
      <text>
        <r>
          <rPr>
            <b/>
            <sz val="8"/>
            <rFont val="Tahoma"/>
            <family val="0"/>
          </rPr>
          <t>řádek
lepšího družstva</t>
        </r>
      </text>
    </comment>
    <comment ref="AA26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A27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B26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B27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A28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A29" authorId="0">
      <text>
        <r>
          <rPr>
            <b/>
            <sz val="8"/>
            <rFont val="Tahoma"/>
            <family val="0"/>
          </rPr>
          <t>pořadí utkání
vyššího párového pořadí</t>
        </r>
      </text>
    </comment>
    <comment ref="AA30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B28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B29" authorId="0">
      <text>
        <r>
          <rPr>
            <b/>
            <sz val="8"/>
            <rFont val="Tahoma"/>
            <family val="0"/>
          </rPr>
          <t>pořadí utkání
nižšího párového pořadí</t>
        </r>
      </text>
    </comment>
    <comment ref="AB30" authorId="0">
      <text>
        <r>
          <rPr>
            <b/>
            <sz val="8"/>
            <rFont val="Tahoma"/>
            <family val="0"/>
          </rPr>
          <t>řádek
lepšího družstva
nižšího párového pořadí</t>
        </r>
      </text>
    </comment>
    <comment ref="AC26" authorId="0">
      <text>
        <r>
          <rPr>
            <b/>
            <sz val="8"/>
            <rFont val="Tahoma"/>
            <family val="0"/>
          </rPr>
          <t>trojité
pořadí</t>
        </r>
      </text>
    </comment>
    <comment ref="AC27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AC28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AC29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AC30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30" authorId="0">
      <text>
        <r>
          <rPr>
            <b/>
            <sz val="8"/>
            <rFont val="Tahoma"/>
            <family val="0"/>
          </rPr>
          <t>číslo 1. utkání
z minitabulky</t>
        </r>
      </text>
    </comment>
    <comment ref="AC31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31" authorId="0">
      <text>
        <r>
          <rPr>
            <b/>
            <sz val="8"/>
            <rFont val="Tahoma"/>
            <family val="0"/>
          </rPr>
          <t>číslo 2. utkání
z minitabulky</t>
        </r>
      </text>
    </comment>
    <comment ref="AC32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32" authorId="0">
      <text>
        <r>
          <rPr>
            <b/>
            <sz val="8"/>
            <rFont val="Tahoma"/>
            <family val="0"/>
          </rPr>
          <t>číslo 3. utkání
z minitabulky</t>
        </r>
      </text>
    </comment>
    <comment ref="K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F53" authorId="1">
      <text>
        <r>
          <rPr>
            <b/>
            <sz val="9"/>
            <rFont val="Tahoma"/>
            <family val="0"/>
          </rPr>
          <t>2. semifinále</t>
        </r>
      </text>
    </comment>
    <comment ref="F55" authorId="1">
      <text>
        <r>
          <rPr>
            <b/>
            <sz val="9"/>
            <rFont val="Tahoma"/>
            <family val="0"/>
          </rPr>
          <t>utkání družstev
z druhých míst</t>
        </r>
      </text>
    </comment>
    <comment ref="F56" authorId="1">
      <text>
        <r>
          <rPr>
            <b/>
            <sz val="9"/>
            <rFont val="Tahoma"/>
            <family val="0"/>
          </rPr>
          <t>utkání družstev
z prvních míst</t>
        </r>
      </text>
    </comment>
    <comment ref="F51" authorId="1">
      <text>
        <r>
          <rPr>
            <b/>
            <sz val="9"/>
            <rFont val="Tahoma"/>
            <family val="0"/>
          </rPr>
          <t>1. semifinále</t>
        </r>
      </text>
    </comment>
    <comment ref="F50" authorId="1">
      <text>
        <r>
          <rPr>
            <b/>
            <sz val="9"/>
            <rFont val="Tahoma"/>
            <family val="0"/>
          </rPr>
          <t>skupina o 5.-7. místo</t>
        </r>
      </text>
    </comment>
    <comment ref="F52" authorId="1">
      <text>
        <r>
          <rPr>
            <b/>
            <sz val="9"/>
            <rFont val="Tahoma"/>
            <family val="0"/>
          </rPr>
          <t>skupina o 5.-7. místo</t>
        </r>
      </text>
    </comment>
    <comment ref="F54" authorId="1">
      <text>
        <r>
          <rPr>
            <b/>
            <sz val="9"/>
            <rFont val="Tahoma"/>
            <family val="0"/>
          </rPr>
          <t>skupina o 5.-7. místo
lze i započíst již odehrané</t>
        </r>
      </text>
    </comment>
  </commentList>
</comments>
</file>

<file path=xl/comments11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R5" authorId="0">
      <text>
        <r>
          <rPr>
            <b/>
            <sz val="8"/>
            <rFont val="Tahoma"/>
            <family val="0"/>
          </rPr>
          <t>zadej
bodování</t>
        </r>
      </text>
    </comment>
    <comment ref="N11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11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Y23" authorId="0">
      <text>
        <r>
          <rPr>
            <b/>
            <sz val="8"/>
            <rFont val="Tahoma"/>
            <family val="0"/>
          </rPr>
          <t>párové
pořadí</t>
        </r>
      </text>
    </comment>
    <comment ref="Y24" authorId="0">
      <text>
        <r>
          <rPr>
            <b/>
            <sz val="8"/>
            <rFont val="Tahoma"/>
            <family val="0"/>
          </rPr>
          <t>řádek
1. párového</t>
        </r>
      </text>
    </comment>
    <comment ref="Y25" authorId="0">
      <text>
        <r>
          <rPr>
            <b/>
            <sz val="8"/>
            <rFont val="Tahoma"/>
            <family val="0"/>
          </rPr>
          <t>řádek
2. párového</t>
        </r>
      </text>
    </comment>
    <comment ref="Y26" authorId="0">
      <text>
        <r>
          <rPr>
            <b/>
            <sz val="8"/>
            <rFont val="Tahoma"/>
            <family val="0"/>
          </rPr>
          <t>soupeři
(utkání)</t>
        </r>
      </text>
    </comment>
    <comment ref="Y27" authorId="0">
      <text>
        <r>
          <rPr>
            <b/>
            <sz val="8"/>
            <rFont val="Tahoma"/>
            <family val="0"/>
          </rPr>
          <t>pořadí
utkání</t>
        </r>
      </text>
    </comment>
    <comment ref="Y28" authorId="0">
      <text>
        <r>
          <rPr>
            <b/>
            <sz val="8"/>
            <rFont val="Tahoma"/>
            <family val="0"/>
          </rPr>
          <t>řádek
lepšího družstva</t>
        </r>
      </text>
    </comment>
    <comment ref="AA23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A24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B23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B24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A25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A26" authorId="0">
      <text>
        <r>
          <rPr>
            <b/>
            <sz val="8"/>
            <rFont val="Tahoma"/>
            <family val="0"/>
          </rPr>
          <t>pořadí utkání
vyššího párového pořadí</t>
        </r>
      </text>
    </comment>
    <comment ref="AA27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B25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B26" authorId="0">
      <text>
        <r>
          <rPr>
            <b/>
            <sz val="8"/>
            <rFont val="Tahoma"/>
            <family val="0"/>
          </rPr>
          <t>pořadí utkání
nižšího párového pořadí</t>
        </r>
      </text>
    </comment>
    <comment ref="AB27" authorId="0">
      <text>
        <r>
          <rPr>
            <b/>
            <sz val="8"/>
            <rFont val="Tahoma"/>
            <family val="0"/>
          </rPr>
          <t>řádek
lepšího družstva
nižšího párového pořadí</t>
        </r>
      </text>
    </comment>
    <comment ref="AC23" authorId="0">
      <text>
        <r>
          <rPr>
            <b/>
            <sz val="8"/>
            <rFont val="Tahoma"/>
            <family val="0"/>
          </rPr>
          <t>trojité
pořadí</t>
        </r>
      </text>
    </comment>
    <comment ref="AC24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AC25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AC26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AC27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27" authorId="0">
      <text>
        <r>
          <rPr>
            <b/>
            <sz val="8"/>
            <rFont val="Tahoma"/>
            <family val="0"/>
          </rPr>
          <t>číslo 1. utkání
z minitabulky</t>
        </r>
      </text>
    </comment>
    <comment ref="AC28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28" authorId="0">
      <text>
        <r>
          <rPr>
            <b/>
            <sz val="8"/>
            <rFont val="Tahoma"/>
            <family val="0"/>
          </rPr>
          <t>číslo 2. utkání
z minitabulky</t>
        </r>
      </text>
    </comment>
    <comment ref="AC29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29" authorId="0">
      <text>
        <r>
          <rPr>
            <b/>
            <sz val="8"/>
            <rFont val="Tahoma"/>
            <family val="0"/>
          </rPr>
          <t>číslo 3. utkání
z minitabulky</t>
        </r>
      </text>
    </comment>
    <comment ref="K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N42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42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Y54" authorId="0">
      <text>
        <r>
          <rPr>
            <b/>
            <sz val="8"/>
            <rFont val="Tahoma"/>
            <family val="0"/>
          </rPr>
          <t>párové
pořadí</t>
        </r>
      </text>
    </comment>
    <comment ref="AA54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B54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C54" authorId="0">
      <text>
        <r>
          <rPr>
            <b/>
            <sz val="8"/>
            <rFont val="Tahoma"/>
            <family val="0"/>
          </rPr>
          <t>trojité
pořadí</t>
        </r>
      </text>
    </comment>
    <comment ref="Y55" authorId="0">
      <text>
        <r>
          <rPr>
            <b/>
            <sz val="8"/>
            <rFont val="Tahoma"/>
            <family val="0"/>
          </rPr>
          <t>řádek
1. párového</t>
        </r>
      </text>
    </comment>
    <comment ref="AA55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B55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C55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Y56" authorId="0">
      <text>
        <r>
          <rPr>
            <b/>
            <sz val="8"/>
            <rFont val="Tahoma"/>
            <family val="0"/>
          </rPr>
          <t>řádek
2. párového</t>
        </r>
      </text>
    </comment>
    <comment ref="AA56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B56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C56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Y57" authorId="0">
      <text>
        <r>
          <rPr>
            <b/>
            <sz val="8"/>
            <rFont val="Tahoma"/>
            <family val="0"/>
          </rPr>
          <t>soupeři
(utkání)</t>
        </r>
      </text>
    </comment>
    <comment ref="AA57" authorId="0">
      <text>
        <r>
          <rPr>
            <b/>
            <sz val="8"/>
            <rFont val="Tahoma"/>
            <family val="0"/>
          </rPr>
          <t>pořadí utkání
vyššího párového pořadí</t>
        </r>
      </text>
    </comment>
    <comment ref="AB57" authorId="0">
      <text>
        <r>
          <rPr>
            <b/>
            <sz val="8"/>
            <rFont val="Tahoma"/>
            <family val="0"/>
          </rPr>
          <t>pořadí utkání
nižšího párového pořadí</t>
        </r>
      </text>
    </comment>
    <comment ref="AC57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Y58" authorId="0">
      <text>
        <r>
          <rPr>
            <b/>
            <sz val="8"/>
            <rFont val="Tahoma"/>
            <family val="0"/>
          </rPr>
          <t>pořadí
utkání</t>
        </r>
      </text>
    </comment>
    <comment ref="AA58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B58" authorId="0">
      <text>
        <r>
          <rPr>
            <b/>
            <sz val="8"/>
            <rFont val="Tahoma"/>
            <family val="0"/>
          </rPr>
          <t>řádek
lepšího družstva
nižšího párového pořadí</t>
        </r>
      </text>
    </comment>
    <comment ref="AC58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58" authorId="0">
      <text>
        <r>
          <rPr>
            <b/>
            <sz val="8"/>
            <rFont val="Tahoma"/>
            <family val="0"/>
          </rPr>
          <t>číslo 1. utkání
z minitabulky</t>
        </r>
      </text>
    </comment>
    <comment ref="Y59" authorId="0">
      <text>
        <r>
          <rPr>
            <b/>
            <sz val="8"/>
            <rFont val="Tahoma"/>
            <family val="0"/>
          </rPr>
          <t>řádek
lepšího družstva</t>
        </r>
      </text>
    </comment>
    <comment ref="AC59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59" authorId="0">
      <text>
        <r>
          <rPr>
            <b/>
            <sz val="8"/>
            <rFont val="Tahoma"/>
            <family val="0"/>
          </rPr>
          <t>číslo 2. utkání
z minitabulky</t>
        </r>
      </text>
    </comment>
    <comment ref="AC60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60" authorId="0">
      <text>
        <r>
          <rPr>
            <b/>
            <sz val="8"/>
            <rFont val="Tahoma"/>
            <family val="0"/>
          </rPr>
          <t>číslo 3. utkání
z minitabulky</t>
        </r>
      </text>
    </comment>
    <comment ref="F67" authorId="1">
      <text>
        <r>
          <rPr>
            <b/>
            <sz val="9"/>
            <rFont val="Tahoma"/>
            <family val="0"/>
          </rPr>
          <t>utkání družstev
ze čtvrtých míst</t>
        </r>
      </text>
    </comment>
    <comment ref="F68" authorId="1">
      <text>
        <r>
          <rPr>
            <b/>
            <sz val="9"/>
            <rFont val="Tahoma"/>
            <family val="0"/>
          </rPr>
          <t>utkání družstev
ze třetích míst</t>
        </r>
      </text>
    </comment>
    <comment ref="F69" authorId="1">
      <text>
        <r>
          <rPr>
            <b/>
            <sz val="9"/>
            <rFont val="Tahoma"/>
            <family val="0"/>
          </rPr>
          <t>utkání družstev
ze druhých míst</t>
        </r>
      </text>
    </comment>
    <comment ref="F70" authorId="1">
      <text>
        <r>
          <rPr>
            <b/>
            <sz val="9"/>
            <rFont val="Tahoma"/>
            <family val="0"/>
          </rPr>
          <t>utkání družstev
z prvních míst</t>
        </r>
      </text>
    </comment>
  </commentList>
</comments>
</file>

<file path=xl/comments12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K11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M11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K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K17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M17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K23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M23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C17" authorId="1">
      <text>
        <r>
          <rPr>
            <b/>
            <sz val="9"/>
            <rFont val="Tahoma"/>
            <family val="0"/>
          </rPr>
          <t>vítězové
čtvrtfinále 1 a 2</t>
        </r>
      </text>
    </comment>
    <comment ref="C18" authorId="1">
      <text>
        <r>
          <rPr>
            <b/>
            <sz val="9"/>
            <rFont val="Tahoma"/>
            <family val="0"/>
          </rPr>
          <t>vítězové
čtvrtfinále 3 a 4</t>
        </r>
      </text>
    </comment>
    <comment ref="C19" authorId="1">
      <text>
        <r>
          <rPr>
            <b/>
            <sz val="9"/>
            <rFont val="Tahoma"/>
            <family val="0"/>
          </rPr>
          <t>poražení
čtvrtfinále 1 a 2</t>
        </r>
      </text>
    </comment>
    <comment ref="C20" authorId="1">
      <text>
        <r>
          <rPr>
            <b/>
            <sz val="9"/>
            <rFont val="Tahoma"/>
            <family val="0"/>
          </rPr>
          <t>poražení
čtvrtfinále 3 a 4</t>
        </r>
      </text>
    </comment>
    <comment ref="C23" authorId="1">
      <text>
        <r>
          <rPr>
            <b/>
            <sz val="9"/>
            <rFont val="Tahoma"/>
            <family val="0"/>
          </rPr>
          <t>poražení ze
semifinále 7. a 8.</t>
        </r>
      </text>
    </comment>
    <comment ref="C24" authorId="1">
      <text>
        <r>
          <rPr>
            <b/>
            <sz val="9"/>
            <rFont val="Tahoma"/>
            <family val="0"/>
          </rPr>
          <t>vítězové ze
semifinále 7. a 8.</t>
        </r>
      </text>
    </comment>
    <comment ref="C25" authorId="1">
      <text>
        <r>
          <rPr>
            <b/>
            <sz val="9"/>
            <rFont val="Tahoma"/>
            <family val="0"/>
          </rPr>
          <t>poražení ze
semifinále 5. a 6.</t>
        </r>
      </text>
    </comment>
    <comment ref="C26" authorId="1">
      <text>
        <r>
          <rPr>
            <b/>
            <sz val="9"/>
            <rFont val="Tahoma"/>
            <family val="0"/>
          </rPr>
          <t>vítězové ze
semifinále 5. a 6.</t>
        </r>
      </text>
    </comment>
    <comment ref="C11" authorId="1">
      <text>
        <r>
          <rPr>
            <b/>
            <sz val="9"/>
            <rFont val="Tahoma"/>
            <family val="0"/>
          </rPr>
          <t>čtvrtfinále 1</t>
        </r>
      </text>
    </comment>
    <comment ref="C12" authorId="1">
      <text>
        <r>
          <rPr>
            <b/>
            <sz val="9"/>
            <rFont val="Tahoma"/>
            <family val="0"/>
          </rPr>
          <t>čtvrtfinále 2</t>
        </r>
      </text>
    </comment>
    <comment ref="C13" authorId="1">
      <text>
        <r>
          <rPr>
            <b/>
            <sz val="9"/>
            <rFont val="Tahoma"/>
            <family val="0"/>
          </rPr>
          <t>čtvrtfinále 3</t>
        </r>
      </text>
    </comment>
    <comment ref="C14" authorId="1">
      <text>
        <r>
          <rPr>
            <b/>
            <sz val="9"/>
            <rFont val="Tahoma"/>
            <family val="0"/>
          </rPr>
          <t>čtvrtfinále 4</t>
        </r>
      </text>
    </comment>
  </commentList>
</comments>
</file>

<file path=xl/comments13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R5" authorId="0">
      <text>
        <r>
          <rPr>
            <b/>
            <sz val="8"/>
            <rFont val="Tahoma"/>
            <family val="0"/>
          </rPr>
          <t>zadej
bodování</t>
        </r>
      </text>
    </comment>
    <comment ref="N13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13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K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N39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39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B49" authorId="1">
      <text>
        <r>
          <rPr>
            <b/>
            <sz val="9"/>
            <rFont val="Tahoma"/>
            <family val="0"/>
          </rPr>
          <t>vítězové
skupin</t>
        </r>
      </text>
    </comment>
    <comment ref="B54" authorId="1">
      <text>
        <r>
          <rPr>
            <b/>
            <sz val="9"/>
            <rFont val="Tahoma"/>
            <family val="0"/>
          </rPr>
          <t>skupina
druhých družstev
ze základních skupin</t>
        </r>
      </text>
    </comment>
    <comment ref="B59" authorId="1">
      <text>
        <r>
          <rPr>
            <b/>
            <sz val="9"/>
            <rFont val="Tahoma"/>
            <family val="0"/>
          </rPr>
          <t>skupina
třetích družstev
ze základních skupin</t>
        </r>
      </text>
    </comment>
  </commentList>
</comments>
</file>

<file path=xl/comments14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R5" authorId="0">
      <text>
        <r>
          <rPr>
            <b/>
            <sz val="8"/>
            <rFont val="Tahoma"/>
            <family val="0"/>
          </rPr>
          <t>zadej
bodování</t>
        </r>
      </text>
    </comment>
    <comment ref="N13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13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K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N39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39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F39" authorId="1">
      <text>
        <r>
          <rPr>
            <b/>
            <sz val="9"/>
            <rFont val="Tahoma"/>
            <family val="0"/>
          </rPr>
          <t>nejlepší vítěz skupiny
proti
nejlepšímu z druhých míst</t>
        </r>
      </text>
    </comment>
    <comment ref="F40" authorId="1">
      <text>
        <r>
          <rPr>
            <b/>
            <sz val="9"/>
            <rFont val="Tahoma"/>
            <family val="0"/>
          </rPr>
          <t>druhý nejlepší vítěz skupiny
proti
třetímu nejlepšímu vítězi skupiny</t>
        </r>
      </text>
    </comment>
    <comment ref="F41" authorId="1">
      <text>
        <r>
          <rPr>
            <b/>
            <sz val="9"/>
            <rFont val="Tahoma"/>
            <family val="0"/>
          </rPr>
          <t>poražení
semifinalisté</t>
        </r>
      </text>
    </comment>
    <comment ref="F42" authorId="1">
      <text>
        <r>
          <rPr>
            <b/>
            <sz val="9"/>
            <rFont val="Tahoma"/>
            <family val="0"/>
          </rPr>
          <t>vítězové
semifinále</t>
        </r>
      </text>
    </comment>
  </commentList>
</comments>
</file>

<file path=xl/comments2.xml><?xml version="1.0" encoding="utf-8"?>
<comments xmlns="http://schemas.openxmlformats.org/spreadsheetml/2006/main">
  <authors>
    <author>Šebesta</author>
  </authors>
  <commentList>
    <comment ref="H4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P4" authorId="0">
      <text>
        <r>
          <rPr>
            <b/>
            <sz val="8"/>
            <rFont val="Tahoma"/>
            <family val="0"/>
          </rPr>
          <t>zadej
bodování</t>
        </r>
      </text>
    </comment>
    <comment ref="N9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9" authorId="0">
      <text>
        <r>
          <rPr>
            <b/>
            <sz val="8"/>
            <rFont val="Tahoma"/>
            <family val="0"/>
          </rPr>
          <t>zadej počet
obdržených branek</t>
        </r>
      </text>
    </comment>
  </commentList>
</comments>
</file>

<file path=xl/comments3.xml><?xml version="1.0" encoding="utf-8"?>
<comments xmlns="http://schemas.openxmlformats.org/spreadsheetml/2006/main">
  <authors>
    <author>Šebesta</author>
  </authors>
  <commentList>
    <comment ref="H4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P4" authorId="0">
      <text>
        <r>
          <rPr>
            <b/>
            <sz val="8"/>
            <rFont val="Tahoma"/>
            <family val="0"/>
          </rPr>
          <t>zadej
bodování</t>
        </r>
      </text>
    </comment>
    <comment ref="N10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10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Y22" authorId="0">
      <text>
        <r>
          <rPr>
            <b/>
            <sz val="8"/>
            <rFont val="Tahoma"/>
            <family val="0"/>
          </rPr>
          <t>párové
pořadí</t>
        </r>
      </text>
    </comment>
    <comment ref="Y23" authorId="0">
      <text>
        <r>
          <rPr>
            <b/>
            <sz val="8"/>
            <rFont val="Tahoma"/>
            <family val="0"/>
          </rPr>
          <t>řádek
1. párového</t>
        </r>
      </text>
    </comment>
    <comment ref="Y24" authorId="0">
      <text>
        <r>
          <rPr>
            <b/>
            <sz val="8"/>
            <rFont val="Tahoma"/>
            <family val="0"/>
          </rPr>
          <t>řádek
2. párového</t>
        </r>
      </text>
    </comment>
    <comment ref="Y25" authorId="0">
      <text>
        <r>
          <rPr>
            <b/>
            <sz val="8"/>
            <rFont val="Tahoma"/>
            <family val="0"/>
          </rPr>
          <t>soupeři
(utkání)</t>
        </r>
      </text>
    </comment>
    <comment ref="Y26" authorId="0">
      <text>
        <r>
          <rPr>
            <b/>
            <sz val="8"/>
            <rFont val="Tahoma"/>
            <family val="0"/>
          </rPr>
          <t>pořadí
utkání</t>
        </r>
      </text>
    </comment>
    <comment ref="Y27" authorId="0">
      <text>
        <r>
          <rPr>
            <b/>
            <sz val="8"/>
            <rFont val="Tahoma"/>
            <family val="0"/>
          </rPr>
          <t>řádek
lepšího družstva</t>
        </r>
      </text>
    </comment>
    <comment ref="AA22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A23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B22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B23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A24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A25" authorId="0">
      <text>
        <r>
          <rPr>
            <b/>
            <sz val="8"/>
            <rFont val="Tahoma"/>
            <family val="0"/>
          </rPr>
          <t>pořadí utkání
vyššího párového pořadí</t>
        </r>
      </text>
    </comment>
    <comment ref="AA26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B24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B25" authorId="0">
      <text>
        <r>
          <rPr>
            <b/>
            <sz val="8"/>
            <rFont val="Tahoma"/>
            <family val="0"/>
          </rPr>
          <t>pořadí utkání
nižšího párového pořadí</t>
        </r>
      </text>
    </comment>
    <comment ref="AB26" authorId="0">
      <text>
        <r>
          <rPr>
            <b/>
            <sz val="8"/>
            <rFont val="Tahoma"/>
            <family val="0"/>
          </rPr>
          <t>řádek
lepšího družstva
nižšího párového pořadí</t>
        </r>
      </text>
    </comment>
    <comment ref="AC22" authorId="0">
      <text>
        <r>
          <rPr>
            <b/>
            <sz val="8"/>
            <rFont val="Tahoma"/>
            <family val="0"/>
          </rPr>
          <t>trojité
pořadí</t>
        </r>
      </text>
    </comment>
    <comment ref="AC23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AC24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AC25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AC26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26" authorId="0">
      <text>
        <r>
          <rPr>
            <b/>
            <sz val="8"/>
            <rFont val="Tahoma"/>
            <family val="0"/>
          </rPr>
          <t>číslo 1. utkání
z minitabulky</t>
        </r>
      </text>
    </comment>
    <comment ref="AC27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27" authorId="0">
      <text>
        <r>
          <rPr>
            <b/>
            <sz val="8"/>
            <rFont val="Tahoma"/>
            <family val="0"/>
          </rPr>
          <t>číslo 2. utkání
z minitabulky</t>
        </r>
      </text>
    </comment>
    <comment ref="AC28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28" authorId="0">
      <text>
        <r>
          <rPr>
            <b/>
            <sz val="8"/>
            <rFont val="Tahoma"/>
            <family val="0"/>
          </rPr>
          <t>číslo 3. utkání
z minitabulky</t>
        </r>
      </text>
    </comment>
  </commentList>
</comments>
</file>

<file path=xl/comments4.xml><?xml version="1.0" encoding="utf-8"?>
<comments xmlns="http://schemas.openxmlformats.org/spreadsheetml/2006/main">
  <authors>
    <author>Šebesta</author>
  </authors>
  <commentList>
    <comment ref="N4" authorId="0">
      <text>
        <r>
          <rPr>
            <b/>
            <sz val="8"/>
            <rFont val="Tahoma"/>
            <family val="0"/>
          </rPr>
          <t>zadej
bodování</t>
        </r>
      </text>
    </comment>
    <comment ref="Z28" authorId="0">
      <text>
        <r>
          <rPr>
            <b/>
            <sz val="8"/>
            <rFont val="Tahoma"/>
            <family val="0"/>
          </rPr>
          <t>párové
pořadí</t>
        </r>
      </text>
    </comment>
    <comment ref="Z29" authorId="0">
      <text>
        <r>
          <rPr>
            <b/>
            <sz val="8"/>
            <rFont val="Tahoma"/>
            <family val="0"/>
          </rPr>
          <t>řádek
1. párového</t>
        </r>
      </text>
    </comment>
    <comment ref="Z30" authorId="0">
      <text>
        <r>
          <rPr>
            <b/>
            <sz val="8"/>
            <rFont val="Tahoma"/>
            <family val="0"/>
          </rPr>
          <t>řádek
2. párového</t>
        </r>
      </text>
    </comment>
    <comment ref="Z31" authorId="0">
      <text>
        <r>
          <rPr>
            <b/>
            <sz val="8"/>
            <rFont val="Tahoma"/>
            <family val="0"/>
          </rPr>
          <t>soupeři
(utkání)</t>
        </r>
      </text>
    </comment>
    <comment ref="Z32" authorId="0">
      <text>
        <r>
          <rPr>
            <b/>
            <sz val="8"/>
            <rFont val="Tahoma"/>
            <family val="0"/>
          </rPr>
          <t>pořadí
utkání</t>
        </r>
      </text>
    </comment>
    <comment ref="Z33" authorId="0">
      <text>
        <r>
          <rPr>
            <b/>
            <sz val="8"/>
            <rFont val="Tahoma"/>
            <family val="0"/>
          </rPr>
          <t>řádek
lepšího družstva</t>
        </r>
      </text>
    </comment>
    <comment ref="AB28" authorId="0">
      <text>
        <r>
          <rPr>
            <b/>
            <sz val="8"/>
            <rFont val="Tahoma"/>
            <family val="0"/>
          </rPr>
          <t>počet
1. pořadí</t>
        </r>
      </text>
    </comment>
    <comment ref="AB29" authorId="0">
      <text>
        <r>
          <rPr>
            <b/>
            <sz val="8"/>
            <rFont val="Tahoma"/>
            <family val="0"/>
          </rPr>
          <t>počet
2. pořadí</t>
        </r>
      </text>
    </comment>
    <comment ref="AB30" authorId="0">
      <text>
        <r>
          <rPr>
            <b/>
            <sz val="8"/>
            <rFont val="Tahoma"/>
            <family val="0"/>
          </rPr>
          <t>počet
3. pořadí</t>
        </r>
      </text>
    </comment>
    <comment ref="AB31" authorId="0">
      <text>
        <r>
          <rPr>
            <b/>
            <sz val="8"/>
            <rFont val="Tahoma"/>
            <family val="0"/>
          </rPr>
          <t>počet
4. pořadí</t>
        </r>
      </text>
    </comment>
    <comment ref="AC28" authorId="0">
      <text>
        <r>
          <rPr>
            <b/>
            <sz val="8"/>
            <rFont val="Tahoma"/>
            <family val="0"/>
          </rPr>
          <t>1. párové
pořadí</t>
        </r>
      </text>
    </comment>
    <comment ref="AC29" authorId="0">
      <text>
        <r>
          <rPr>
            <b/>
            <sz val="8"/>
            <rFont val="Tahoma"/>
            <family val="0"/>
          </rPr>
          <t>2. párové
pořadí</t>
        </r>
      </text>
    </comment>
    <comment ref="AB32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C32" authorId="0">
      <text>
        <r>
          <rPr>
            <b/>
            <sz val="8"/>
            <rFont val="Tahoma"/>
            <family val="0"/>
          </rPr>
          <t>1. řádek nižšího
párového pořadí</t>
        </r>
      </text>
    </comment>
    <comment ref="AB33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C33" authorId="0">
      <text>
        <r>
          <rPr>
            <b/>
            <sz val="8"/>
            <rFont val="Tahoma"/>
            <family val="0"/>
          </rPr>
          <t>2. řádek nižšího
párového pořadí</t>
        </r>
      </text>
    </comment>
    <comment ref="AB34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C34" authorId="0">
      <text>
        <r>
          <rPr>
            <b/>
            <sz val="8"/>
            <rFont val="Tahoma"/>
            <family val="0"/>
          </rPr>
          <t>soupeři (utkání)
nižšího párového pořadí</t>
        </r>
      </text>
    </comment>
    <comment ref="AB35" authorId="0">
      <text>
        <r>
          <rPr>
            <b/>
            <sz val="8"/>
            <rFont val="Tahoma"/>
            <family val="0"/>
          </rPr>
          <t>pořadí utkání
vyššího párového pořadí</t>
        </r>
      </text>
    </comment>
    <comment ref="AC35" authorId="0">
      <text>
        <r>
          <rPr>
            <b/>
            <sz val="8"/>
            <rFont val="Tahoma"/>
            <family val="0"/>
          </rPr>
          <t>pořadí utkání
nižšího párového pořadí</t>
        </r>
      </text>
    </comment>
    <comment ref="AB36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C36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D28" authorId="0">
      <text>
        <r>
          <rPr>
            <b/>
            <sz val="8"/>
            <rFont val="Tahoma"/>
            <family val="0"/>
          </rPr>
          <t>trojité
pořadí</t>
        </r>
      </text>
    </comment>
    <comment ref="AD29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AD30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AD31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AD32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33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34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E32" authorId="0">
      <text>
        <r>
          <rPr>
            <b/>
            <sz val="8"/>
            <rFont val="Tahoma"/>
            <family val="0"/>
          </rPr>
          <t>číslo 1. utkání
z minitabulky</t>
        </r>
      </text>
    </comment>
    <comment ref="AE33" authorId="0">
      <text>
        <r>
          <rPr>
            <b/>
            <sz val="8"/>
            <rFont val="Tahoma"/>
            <family val="0"/>
          </rPr>
          <t>číslo 2. utkání
z minitabulky</t>
        </r>
      </text>
    </comment>
    <comment ref="AE34" authorId="0">
      <text>
        <r>
          <rPr>
            <b/>
            <sz val="8"/>
            <rFont val="Tahoma"/>
            <family val="0"/>
          </rPr>
          <t>číslo 3. utkání
z minitabulky</t>
        </r>
      </text>
    </comment>
    <comment ref="AF28" authorId="0">
      <text>
        <r>
          <rPr>
            <b/>
            <sz val="8"/>
            <rFont val="Tahoma"/>
            <family val="0"/>
          </rPr>
          <t>trojité
pořadí</t>
        </r>
      </text>
    </comment>
    <comment ref="Y28" authorId="0">
      <text>
        <r>
          <rPr>
            <b/>
            <sz val="8"/>
            <rFont val="Tahoma"/>
            <family val="0"/>
          </rPr>
          <t>součet
pořadí</t>
        </r>
      </text>
    </comment>
    <comment ref="AG28" authorId="0">
      <text>
        <r>
          <rPr>
            <b/>
            <sz val="8"/>
            <rFont val="Tahoma"/>
            <family val="0"/>
          </rPr>
          <t>párové
pořadí</t>
        </r>
      </text>
    </comment>
    <comment ref="AF29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AF30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AF31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AG29" authorId="0">
      <text>
        <r>
          <rPr>
            <b/>
            <sz val="8"/>
            <rFont val="Tahoma"/>
            <family val="0"/>
          </rPr>
          <t>1. řádek
párového pořadí</t>
        </r>
      </text>
    </comment>
    <comment ref="AF32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F33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F34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G32" authorId="0">
      <text>
        <r>
          <rPr>
            <b/>
            <sz val="8"/>
            <rFont val="Tahoma"/>
            <family val="0"/>
          </rPr>
          <t>číslo 1. utkání
z minitabulky</t>
        </r>
      </text>
    </comment>
    <comment ref="AG33" authorId="0">
      <text>
        <r>
          <rPr>
            <b/>
            <sz val="8"/>
            <rFont val="Tahoma"/>
            <family val="0"/>
          </rPr>
          <t>číslo 2. utkání
z minitabulky</t>
        </r>
      </text>
    </comment>
    <comment ref="AG34" authorId="0">
      <text>
        <r>
          <rPr>
            <b/>
            <sz val="8"/>
            <rFont val="Tahoma"/>
            <family val="0"/>
          </rPr>
          <t>číslo 3. utkání
z minitabulky</t>
        </r>
      </text>
    </comment>
    <comment ref="AF35" authorId="0">
      <text>
        <r>
          <rPr>
            <b/>
            <sz val="8"/>
            <rFont val="Tahoma"/>
            <family val="0"/>
          </rPr>
          <t>soupeři (utkání)
párového pořadí</t>
        </r>
      </text>
    </comment>
    <comment ref="AG35" authorId="0">
      <text>
        <r>
          <rPr>
            <b/>
            <sz val="8"/>
            <rFont val="Tahoma"/>
            <family val="0"/>
          </rPr>
          <t>pořadí utkání
párového pořadí</t>
        </r>
      </text>
    </comment>
    <comment ref="AG36" authorId="0">
      <text>
        <r>
          <rPr>
            <b/>
            <sz val="8"/>
            <rFont val="Tahoma"/>
            <family val="0"/>
          </rPr>
          <t>řádek
lepšího družstva
párového pořadí</t>
        </r>
      </text>
    </comment>
    <comment ref="AH29" authorId="0">
      <text>
        <r>
          <rPr>
            <b/>
            <sz val="8"/>
            <rFont val="Tahoma"/>
            <family val="0"/>
          </rPr>
          <t>1. řádek
čtverného pořadí</t>
        </r>
      </text>
    </comment>
    <comment ref="AH30" authorId="0">
      <text>
        <r>
          <rPr>
            <b/>
            <sz val="8"/>
            <rFont val="Tahoma"/>
            <family val="0"/>
          </rPr>
          <t>2. řádek
čtverného pořadí</t>
        </r>
      </text>
    </comment>
    <comment ref="AH31" authorId="0">
      <text>
        <r>
          <rPr>
            <b/>
            <sz val="8"/>
            <rFont val="Tahoma"/>
            <family val="0"/>
          </rPr>
          <t>3. řádek
čtverného pořadí</t>
        </r>
      </text>
    </comment>
    <comment ref="AH28" authorId="0">
      <text>
        <r>
          <rPr>
            <b/>
            <sz val="8"/>
            <rFont val="Tahoma"/>
            <family val="0"/>
          </rPr>
          <t>čtverné
pořadí</t>
        </r>
      </text>
    </comment>
    <comment ref="AH32" authorId="0">
      <text>
        <r>
          <rPr>
            <b/>
            <sz val="8"/>
            <rFont val="Tahoma"/>
            <family val="0"/>
          </rPr>
          <t>4. řádek
čtverného pořadí</t>
        </r>
      </text>
    </comment>
    <comment ref="AI33" authorId="0">
      <text>
        <r>
          <rPr>
            <b/>
            <sz val="8"/>
            <rFont val="Tahoma"/>
            <family val="0"/>
          </rPr>
          <t>číslo 1. utkání
z minitabulky</t>
        </r>
      </text>
    </comment>
    <comment ref="AI34" authorId="0">
      <text>
        <r>
          <rPr>
            <b/>
            <sz val="8"/>
            <rFont val="Tahoma"/>
            <family val="0"/>
          </rPr>
          <t>číslo 2. utkání
z minitabulky</t>
        </r>
      </text>
    </comment>
    <comment ref="AI35" authorId="0">
      <text>
        <r>
          <rPr>
            <b/>
            <sz val="8"/>
            <rFont val="Tahoma"/>
            <family val="0"/>
          </rPr>
          <t>číslo 3. utkání
z minitabulky</t>
        </r>
      </text>
    </comment>
    <comment ref="AI36" authorId="0">
      <text>
        <r>
          <rPr>
            <b/>
            <sz val="8"/>
            <rFont val="Tahoma"/>
            <family val="0"/>
          </rPr>
          <t>číslo 4. utkání
z minitabulky</t>
        </r>
      </text>
    </comment>
    <comment ref="AI37" authorId="0">
      <text>
        <r>
          <rPr>
            <b/>
            <sz val="8"/>
            <rFont val="Tahoma"/>
            <family val="0"/>
          </rPr>
          <t>číslo 5. utkání
z minitabulky</t>
        </r>
      </text>
    </comment>
    <comment ref="AH33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H34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H35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H36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H37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H38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I38" authorId="0">
      <text>
        <r>
          <rPr>
            <b/>
            <sz val="8"/>
            <rFont val="Tahoma"/>
            <family val="0"/>
          </rPr>
          <t>číslo 6. utkání
z minitabulky</t>
        </r>
      </text>
    </comment>
  </commentList>
</comments>
</file>

<file path=xl/comments5.xml><?xml version="1.0" encoding="utf-8"?>
<comments xmlns="http://schemas.openxmlformats.org/spreadsheetml/2006/main">
  <authors>
    <author>Šebesta</author>
  </authors>
  <commentList>
    <comment ref="F4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H12" authorId="0">
      <text>
        <r>
          <rPr>
            <b/>
            <sz val="8"/>
            <rFont val="Tahoma"/>
            <family val="0"/>
          </rPr>
          <t>zadej
bodování</t>
        </r>
      </text>
    </comment>
    <comment ref="U4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W4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AC27" authorId="0">
      <text>
        <r>
          <rPr>
            <b/>
            <sz val="8"/>
            <rFont val="Tahoma"/>
            <family val="0"/>
          </rPr>
          <t>součet
pořadí</t>
        </r>
      </text>
    </comment>
    <comment ref="AD27" authorId="0">
      <text>
        <r>
          <rPr>
            <b/>
            <sz val="8"/>
            <rFont val="Tahoma"/>
            <family val="0"/>
          </rPr>
          <t>párové
pořadí</t>
        </r>
      </text>
    </comment>
    <comment ref="AD28" authorId="0">
      <text>
        <r>
          <rPr>
            <b/>
            <sz val="8"/>
            <rFont val="Tahoma"/>
            <family val="0"/>
          </rPr>
          <t>řádek
1. párového</t>
        </r>
      </text>
    </comment>
    <comment ref="AD29" authorId="0">
      <text>
        <r>
          <rPr>
            <b/>
            <sz val="8"/>
            <rFont val="Tahoma"/>
            <family val="0"/>
          </rPr>
          <t>řádek
2. párového</t>
        </r>
      </text>
    </comment>
    <comment ref="AD30" authorId="0">
      <text>
        <r>
          <rPr>
            <b/>
            <sz val="8"/>
            <rFont val="Tahoma"/>
            <family val="0"/>
          </rPr>
          <t>soupeři
(utkání)</t>
        </r>
      </text>
    </comment>
    <comment ref="AD31" authorId="0">
      <text>
        <r>
          <rPr>
            <b/>
            <sz val="8"/>
            <rFont val="Tahoma"/>
            <family val="0"/>
          </rPr>
          <t>pořadí
utkání</t>
        </r>
      </text>
    </comment>
    <comment ref="AD32" authorId="0">
      <text>
        <r>
          <rPr>
            <b/>
            <sz val="8"/>
            <rFont val="Tahoma"/>
            <family val="0"/>
          </rPr>
          <t>řádek
lepšího družstva</t>
        </r>
      </text>
    </comment>
    <comment ref="AF27" authorId="0">
      <text>
        <r>
          <rPr>
            <b/>
            <sz val="8"/>
            <rFont val="Tahoma"/>
            <family val="0"/>
          </rPr>
          <t>počet
1. pořadí</t>
        </r>
      </text>
    </comment>
    <comment ref="AF28" authorId="0">
      <text>
        <r>
          <rPr>
            <b/>
            <sz val="8"/>
            <rFont val="Tahoma"/>
            <family val="0"/>
          </rPr>
          <t>počet
2. pořadí</t>
        </r>
      </text>
    </comment>
    <comment ref="AF29" authorId="0">
      <text>
        <r>
          <rPr>
            <b/>
            <sz val="8"/>
            <rFont val="Tahoma"/>
            <family val="0"/>
          </rPr>
          <t>počet
3. pořadí</t>
        </r>
      </text>
    </comment>
    <comment ref="AF30" authorId="0">
      <text>
        <r>
          <rPr>
            <b/>
            <sz val="8"/>
            <rFont val="Tahoma"/>
            <family val="0"/>
          </rPr>
          <t>počet
4. pořadí</t>
        </r>
      </text>
    </comment>
    <comment ref="AF31" authorId="0">
      <text>
        <r>
          <rPr>
            <b/>
            <sz val="8"/>
            <rFont val="Tahoma"/>
            <family val="0"/>
          </rPr>
          <t>počet
5. pořadí</t>
        </r>
      </text>
    </comment>
    <comment ref="AG27" authorId="0">
      <text>
        <r>
          <rPr>
            <b/>
            <sz val="8"/>
            <rFont val="Tahoma"/>
            <family val="0"/>
          </rPr>
          <t>1. párové
pořadí</t>
        </r>
      </text>
    </comment>
    <comment ref="AG28" authorId="0">
      <text>
        <r>
          <rPr>
            <b/>
            <sz val="8"/>
            <rFont val="Tahoma"/>
            <family val="0"/>
          </rPr>
          <t>2. párové
pořadí</t>
        </r>
      </text>
    </comment>
    <comment ref="AF32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G32" authorId="0">
      <text>
        <r>
          <rPr>
            <b/>
            <sz val="8"/>
            <rFont val="Tahoma"/>
            <family val="0"/>
          </rPr>
          <t>1. řádek nižšího
párového pořadí</t>
        </r>
      </text>
    </comment>
    <comment ref="AF33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G33" authorId="0">
      <text>
        <r>
          <rPr>
            <b/>
            <sz val="8"/>
            <rFont val="Tahoma"/>
            <family val="0"/>
          </rPr>
          <t>2. řádek nižšího
párového pořadí</t>
        </r>
      </text>
    </comment>
    <comment ref="AF34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G34" authorId="0">
      <text>
        <r>
          <rPr>
            <b/>
            <sz val="8"/>
            <rFont val="Tahoma"/>
            <family val="0"/>
          </rPr>
          <t>soupeři (utkání)
nižšího párového pořadí</t>
        </r>
      </text>
    </comment>
    <comment ref="AF35" authorId="0">
      <text>
        <r>
          <rPr>
            <b/>
            <sz val="8"/>
            <rFont val="Tahoma"/>
            <family val="0"/>
          </rPr>
          <t>pořadí utkání
vyššího párového pořadí</t>
        </r>
      </text>
    </comment>
    <comment ref="AG35" authorId="0">
      <text>
        <r>
          <rPr>
            <b/>
            <sz val="8"/>
            <rFont val="Tahoma"/>
            <family val="0"/>
          </rPr>
          <t>pořadí utkání
nižšího párového pořadí</t>
        </r>
      </text>
    </comment>
    <comment ref="AF36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G36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H27" authorId="0">
      <text>
        <r>
          <rPr>
            <b/>
            <sz val="8"/>
            <rFont val="Tahoma"/>
            <family val="0"/>
          </rPr>
          <t>1. řádek
1. pořadí</t>
        </r>
      </text>
    </comment>
    <comment ref="AI27" authorId="0">
      <text>
        <r>
          <rPr>
            <b/>
            <sz val="8"/>
            <rFont val="Tahoma"/>
            <family val="0"/>
          </rPr>
          <t>2. řádek
1. pořadí</t>
        </r>
      </text>
    </comment>
    <comment ref="AI28" authorId="0">
      <text>
        <r>
          <rPr>
            <b/>
            <sz val="8"/>
            <rFont val="Tahoma"/>
            <family val="0"/>
          </rPr>
          <t>2. párové
pořadí</t>
        </r>
      </text>
    </comment>
    <comment ref="AH28" authorId="0">
      <text>
        <r>
          <rPr>
            <b/>
            <sz val="8"/>
            <rFont val="Tahoma"/>
            <family val="0"/>
          </rPr>
          <t>1. řádek
3. pořadí</t>
        </r>
      </text>
    </comment>
    <comment ref="AH29" authorId="0">
      <text>
        <r>
          <rPr>
            <b/>
            <sz val="8"/>
            <rFont val="Tahoma"/>
            <family val="0"/>
          </rPr>
          <t>1. řádek
5. pořadí</t>
        </r>
      </text>
    </comment>
    <comment ref="AH30" authorId="0">
      <text>
        <r>
          <rPr>
            <b/>
            <sz val="8"/>
            <rFont val="Tahoma"/>
            <family val="0"/>
          </rPr>
          <t>soupeři (utkání)
1. pořadí</t>
        </r>
      </text>
    </comment>
    <comment ref="AI29" authorId="0">
      <text>
        <r>
          <rPr>
            <b/>
            <sz val="8"/>
            <rFont val="Tahoma"/>
            <family val="0"/>
          </rPr>
          <t>2. párové
pořadí</t>
        </r>
      </text>
    </comment>
    <comment ref="AH31" authorId="0">
      <text>
        <r>
          <rPr>
            <b/>
            <sz val="8"/>
            <rFont val="Tahoma"/>
            <family val="0"/>
          </rPr>
          <t>soupeři (utkání)
3. pořadí</t>
        </r>
      </text>
    </comment>
    <comment ref="AH32" authorId="0">
      <text>
        <r>
          <rPr>
            <b/>
            <sz val="8"/>
            <rFont val="Tahoma"/>
            <family val="0"/>
          </rPr>
          <t>soupeři (utkání)
5. pořadí</t>
        </r>
      </text>
    </comment>
    <comment ref="AI30" authorId="0">
      <text>
        <r>
          <rPr>
            <b/>
            <sz val="8"/>
            <rFont val="Tahoma"/>
            <family val="0"/>
          </rPr>
          <t>pořadí utkání
1. pořadí</t>
        </r>
      </text>
    </comment>
    <comment ref="AI31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I32" authorId="0">
      <text>
        <r>
          <rPr>
            <b/>
            <sz val="8"/>
            <rFont val="Tahoma"/>
            <family val="0"/>
          </rPr>
          <t>pořadí utkání
5. pořadí</t>
        </r>
      </text>
    </comment>
    <comment ref="AH33" authorId="0">
      <text>
        <r>
          <rPr>
            <b/>
            <sz val="8"/>
            <rFont val="Tahoma"/>
            <family val="0"/>
          </rPr>
          <t>řádek
lepšího družstva
1. pořadí</t>
        </r>
      </text>
    </comment>
    <comment ref="AH34" authorId="0">
      <text>
        <r>
          <rPr>
            <b/>
            <sz val="8"/>
            <rFont val="Tahoma"/>
            <family val="0"/>
          </rPr>
          <t>řádek
lepšího družstva
3. pořadí</t>
        </r>
      </text>
    </comment>
    <comment ref="AH35" authorId="0">
      <text>
        <r>
          <rPr>
            <b/>
            <sz val="8"/>
            <rFont val="Tahoma"/>
            <family val="0"/>
          </rPr>
          <t>řádek
lepšího družstva
5. pořadí</t>
        </r>
      </text>
    </comment>
    <comment ref="AJ27" authorId="0">
      <text>
        <r>
          <rPr>
            <b/>
            <sz val="8"/>
            <rFont val="Tahoma"/>
            <family val="0"/>
          </rPr>
          <t>trojité
pořadí</t>
        </r>
      </text>
    </comment>
    <comment ref="AJ28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AJ29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AJ30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AJ31" authorId="0">
      <text>
        <r>
          <rPr>
            <b/>
            <sz val="8"/>
            <rFont val="Tahoma"/>
            <family val="0"/>
          </rPr>
          <t>soupeři (utkání)
trojitého pořadí</t>
        </r>
      </text>
    </comment>
    <comment ref="AJ32" authorId="0">
      <text>
        <r>
          <rPr>
            <b/>
            <sz val="8"/>
            <rFont val="Tahoma"/>
            <family val="0"/>
          </rPr>
          <t>soupeři (utkání)
trojitého pořadí</t>
        </r>
      </text>
    </comment>
    <comment ref="AJ33" authorId="0">
      <text>
        <r>
          <rPr>
            <b/>
            <sz val="8"/>
            <rFont val="Tahoma"/>
            <family val="0"/>
          </rPr>
          <t>soupeři (utkání)
trojitého pořadí</t>
        </r>
      </text>
    </comment>
    <comment ref="AK31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K32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K33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M27" authorId="0">
      <text>
        <r>
          <rPr>
            <b/>
            <sz val="8"/>
            <rFont val="Tahoma"/>
            <family val="0"/>
          </rPr>
          <t>trojité
pořadí</t>
        </r>
      </text>
    </comment>
    <comment ref="AM28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AM29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AM30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AM31" authorId="0">
      <text>
        <r>
          <rPr>
            <b/>
            <sz val="8"/>
            <rFont val="Tahoma"/>
            <family val="0"/>
          </rPr>
          <t>soupeři (utkání)
trojitého pořadí</t>
        </r>
      </text>
    </comment>
    <comment ref="AN31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M32" authorId="0">
      <text>
        <r>
          <rPr>
            <b/>
            <sz val="8"/>
            <rFont val="Tahoma"/>
            <family val="0"/>
          </rPr>
          <t>soupeři (utkání)
trojitého pořadí</t>
        </r>
      </text>
    </comment>
    <comment ref="AN32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M33" authorId="0">
      <text>
        <r>
          <rPr>
            <b/>
            <sz val="8"/>
            <rFont val="Tahoma"/>
            <family val="0"/>
          </rPr>
          <t>soupeři (utkání)
trojitého pořadí</t>
        </r>
      </text>
    </comment>
    <comment ref="AN33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N27" authorId="0">
      <text>
        <r>
          <rPr>
            <b/>
            <sz val="8"/>
            <rFont val="Tahoma"/>
            <family val="0"/>
          </rPr>
          <t>párové
pořadí</t>
        </r>
      </text>
    </comment>
    <comment ref="AN28" authorId="0">
      <text>
        <r>
          <rPr>
            <b/>
            <sz val="8"/>
            <rFont val="Tahoma"/>
            <family val="0"/>
          </rPr>
          <t>řádek
1. párového</t>
        </r>
      </text>
    </comment>
    <comment ref="AN29" authorId="0">
      <text>
        <r>
          <rPr>
            <b/>
            <sz val="8"/>
            <rFont val="Tahoma"/>
            <family val="0"/>
          </rPr>
          <t>řádek
2. párového</t>
        </r>
      </text>
    </comment>
    <comment ref="AM34" authorId="0">
      <text>
        <r>
          <rPr>
            <b/>
            <sz val="8"/>
            <rFont val="Tahoma"/>
            <family val="0"/>
          </rPr>
          <t>soupeři (utkání)
párového pořadí</t>
        </r>
      </text>
    </comment>
    <comment ref="AN34" authorId="0">
      <text>
        <r>
          <rPr>
            <b/>
            <sz val="8"/>
            <rFont val="Tahoma"/>
            <family val="0"/>
          </rPr>
          <t>pořadí utkání
párového pořadí</t>
        </r>
      </text>
    </comment>
    <comment ref="AN35" authorId="0">
      <text>
        <r>
          <rPr>
            <b/>
            <sz val="8"/>
            <rFont val="Tahoma"/>
            <family val="0"/>
          </rPr>
          <t>řádek
lepšího družstva</t>
        </r>
      </text>
    </comment>
    <comment ref="AI20" authorId="0">
      <text>
        <r>
          <rPr>
            <b/>
            <sz val="8"/>
            <rFont val="Tahoma"/>
            <family val="0"/>
          </rPr>
          <t>2+2+2</t>
        </r>
      </text>
    </comment>
    <comment ref="AK20" authorId="0">
      <text>
        <r>
          <rPr>
            <b/>
            <sz val="8"/>
            <rFont val="Tahoma"/>
            <family val="0"/>
          </rPr>
          <t>3+1+1+1</t>
        </r>
      </text>
    </comment>
    <comment ref="AO27" authorId="0">
      <text>
        <r>
          <rPr>
            <b/>
            <sz val="8"/>
            <rFont val="Tahoma"/>
            <family val="0"/>
          </rPr>
          <t>1. řádek
1. trojitého pořadí</t>
        </r>
      </text>
    </comment>
    <comment ref="AO28" authorId="0">
      <text>
        <r>
          <rPr>
            <b/>
            <sz val="8"/>
            <rFont val="Tahoma"/>
            <family val="0"/>
          </rPr>
          <t>2. řádek
1. trojitého pořadí</t>
        </r>
      </text>
    </comment>
    <comment ref="AO29" authorId="0">
      <text>
        <r>
          <rPr>
            <b/>
            <sz val="8"/>
            <rFont val="Tahoma"/>
            <family val="0"/>
          </rPr>
          <t>3. řádek
1. trojitého pořadí</t>
        </r>
      </text>
    </comment>
    <comment ref="AP27" authorId="0">
      <text>
        <r>
          <rPr>
            <b/>
            <sz val="8"/>
            <rFont val="Tahoma"/>
            <family val="0"/>
          </rPr>
          <t>1. řádek
2. trojitého pořadí</t>
        </r>
      </text>
    </comment>
    <comment ref="AP28" authorId="0">
      <text>
        <r>
          <rPr>
            <b/>
            <sz val="8"/>
            <rFont val="Tahoma"/>
            <family val="0"/>
          </rPr>
          <t>2. řádek
1. trojitého pořadí</t>
        </r>
      </text>
    </comment>
    <comment ref="AP29" authorId="0">
      <text>
        <r>
          <rPr>
            <b/>
            <sz val="8"/>
            <rFont val="Tahoma"/>
            <family val="0"/>
          </rPr>
          <t>3. řádek
2. trojitého pořadí</t>
        </r>
      </text>
    </comment>
    <comment ref="AO30" authorId="0">
      <text>
        <r>
          <rPr>
            <b/>
            <sz val="8"/>
            <rFont val="Tahoma"/>
            <family val="0"/>
          </rPr>
          <t>soupeři (utkání)
1. trojitého pořadí</t>
        </r>
      </text>
    </comment>
    <comment ref="AP30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O31" authorId="0">
      <text>
        <r>
          <rPr>
            <b/>
            <sz val="8"/>
            <rFont val="Tahoma"/>
            <family val="0"/>
          </rPr>
          <t>soupeři (utkání)
1. trojitého pořadí</t>
        </r>
      </text>
    </comment>
    <comment ref="AP31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O32" authorId="0">
      <text>
        <r>
          <rPr>
            <b/>
            <sz val="8"/>
            <rFont val="Tahoma"/>
            <family val="0"/>
          </rPr>
          <t>soupeři (utkání)
1. trojitého pořadí</t>
        </r>
      </text>
    </comment>
    <comment ref="AP32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O33" authorId="0">
      <text>
        <r>
          <rPr>
            <b/>
            <sz val="8"/>
            <rFont val="Tahoma"/>
            <family val="0"/>
          </rPr>
          <t>soupeři (utkání)
1. trojitého pořadí</t>
        </r>
      </text>
    </comment>
    <comment ref="AP33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O34" authorId="0">
      <text>
        <r>
          <rPr>
            <b/>
            <sz val="8"/>
            <rFont val="Tahoma"/>
            <family val="0"/>
          </rPr>
          <t>soupeři (utkání)
1. trojitého pořadí</t>
        </r>
      </text>
    </comment>
    <comment ref="AP34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O35" authorId="0">
      <text>
        <r>
          <rPr>
            <b/>
            <sz val="8"/>
            <rFont val="Tahoma"/>
            <family val="0"/>
          </rPr>
          <t>soupeři (utkání)
1. trojitého pořadí</t>
        </r>
      </text>
    </comment>
    <comment ref="AP35" authorId="0">
      <text>
        <r>
          <rPr>
            <b/>
            <sz val="8"/>
            <rFont val="Tahoma"/>
            <family val="0"/>
          </rPr>
          <t>pořadí utkání
3. pořadí</t>
        </r>
      </text>
    </comment>
    <comment ref="AE20" authorId="0">
      <text>
        <r>
          <rPr>
            <b/>
            <sz val="8"/>
            <rFont val="Tahoma"/>
            <family val="0"/>
          </rPr>
          <t>2+1+1+1+1</t>
        </r>
      </text>
    </comment>
    <comment ref="AC20" authorId="0">
      <text>
        <r>
          <rPr>
            <b/>
            <sz val="8"/>
            <rFont val="Tahoma"/>
            <family val="0"/>
          </rPr>
          <t>1+1+1+1+1+1</t>
        </r>
      </text>
    </comment>
    <comment ref="AG20" authorId="0">
      <text>
        <r>
          <rPr>
            <b/>
            <sz val="8"/>
            <rFont val="Tahoma"/>
            <family val="0"/>
          </rPr>
          <t>2+2+1+1</t>
        </r>
      </text>
    </comment>
    <comment ref="AN20" authorId="0">
      <text>
        <r>
          <rPr>
            <b/>
            <sz val="8"/>
            <rFont val="Tahoma"/>
            <family val="0"/>
          </rPr>
          <t>3+2+1</t>
        </r>
      </text>
    </comment>
    <comment ref="AP20" authorId="0">
      <text>
        <r>
          <rPr>
            <b/>
            <sz val="8"/>
            <rFont val="Tahoma"/>
            <family val="0"/>
          </rPr>
          <t>3+3</t>
        </r>
      </text>
    </comment>
    <comment ref="AR20" authorId="0">
      <text>
        <r>
          <rPr>
            <b/>
            <sz val="8"/>
            <rFont val="Tahoma"/>
            <family val="0"/>
          </rPr>
          <t>4+1+1</t>
        </r>
      </text>
    </comment>
    <comment ref="AQ27" authorId="0">
      <text>
        <r>
          <rPr>
            <b/>
            <sz val="8"/>
            <rFont val="Tahoma"/>
            <family val="0"/>
          </rPr>
          <t>čtverné
pořadí</t>
        </r>
      </text>
    </comment>
    <comment ref="AQ28" authorId="0">
      <text>
        <r>
          <rPr>
            <b/>
            <sz val="8"/>
            <rFont val="Tahoma"/>
            <family val="0"/>
          </rPr>
          <t>1. řádek
čtverného pořadí</t>
        </r>
      </text>
    </comment>
    <comment ref="AQ29" authorId="0">
      <text>
        <r>
          <rPr>
            <b/>
            <sz val="8"/>
            <rFont val="Tahoma"/>
            <family val="0"/>
          </rPr>
          <t>2. řádek
čtverného pořadí</t>
        </r>
      </text>
    </comment>
    <comment ref="AQ30" authorId="0">
      <text>
        <r>
          <rPr>
            <b/>
            <sz val="8"/>
            <rFont val="Tahoma"/>
            <family val="0"/>
          </rPr>
          <t>3. řádek
čtverného pořadí</t>
        </r>
      </text>
    </comment>
    <comment ref="AQ31" authorId="0">
      <text>
        <r>
          <rPr>
            <b/>
            <sz val="8"/>
            <rFont val="Tahoma"/>
            <family val="0"/>
          </rPr>
          <t>4. řádek
čtverného pořadí</t>
        </r>
      </text>
    </comment>
    <comment ref="AQ32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R32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Q33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Q34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Q35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Q36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Q37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R33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R34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R35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R36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R37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T27" authorId="0">
      <text>
        <r>
          <rPr>
            <b/>
            <sz val="8"/>
            <rFont val="Tahoma"/>
            <family val="0"/>
          </rPr>
          <t>čtverné
pořadí</t>
        </r>
      </text>
    </comment>
    <comment ref="AU20" authorId="0">
      <text>
        <r>
          <rPr>
            <b/>
            <sz val="8"/>
            <rFont val="Tahoma"/>
            <family val="0"/>
          </rPr>
          <t>4+2</t>
        </r>
      </text>
    </comment>
    <comment ref="AT28" authorId="0">
      <text>
        <r>
          <rPr>
            <b/>
            <sz val="8"/>
            <rFont val="Tahoma"/>
            <family val="0"/>
          </rPr>
          <t>1. řádek
čtverného pořadí</t>
        </r>
      </text>
    </comment>
    <comment ref="AT29" authorId="0">
      <text>
        <r>
          <rPr>
            <b/>
            <sz val="8"/>
            <rFont val="Tahoma"/>
            <family val="0"/>
          </rPr>
          <t>2. řádek
čtvrného pořadí</t>
        </r>
      </text>
    </comment>
    <comment ref="AT30" authorId="0">
      <text>
        <r>
          <rPr>
            <b/>
            <sz val="8"/>
            <rFont val="Tahoma"/>
            <family val="0"/>
          </rPr>
          <t>3. řádek
čtverného pořadí</t>
        </r>
      </text>
    </comment>
    <comment ref="AT31" authorId="0">
      <text>
        <r>
          <rPr>
            <b/>
            <sz val="8"/>
            <rFont val="Tahoma"/>
            <family val="0"/>
          </rPr>
          <t>4. řádek
čtverného pořadí</t>
        </r>
      </text>
    </comment>
    <comment ref="AT32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U32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T33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U33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T34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U34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T35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U35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T36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U36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T37" authorId="0">
      <text>
        <r>
          <rPr>
            <b/>
            <sz val="8"/>
            <rFont val="Tahoma"/>
            <family val="0"/>
          </rPr>
          <t>soupeři (utkání)
čtverného pořadí</t>
        </r>
      </text>
    </comment>
    <comment ref="AU37" authorId="0">
      <text>
        <r>
          <rPr>
            <b/>
            <sz val="8"/>
            <rFont val="Tahoma"/>
            <family val="0"/>
          </rPr>
          <t>pořadí utkání
čtverného pořadí</t>
        </r>
      </text>
    </comment>
    <comment ref="AU27" authorId="0">
      <text>
        <r>
          <rPr>
            <b/>
            <sz val="8"/>
            <rFont val="Tahoma"/>
            <family val="0"/>
          </rPr>
          <t>párové
pořadí</t>
        </r>
      </text>
    </comment>
    <comment ref="AU28" authorId="0">
      <text>
        <r>
          <rPr>
            <b/>
            <sz val="8"/>
            <rFont val="Tahoma"/>
            <family val="0"/>
          </rPr>
          <t>1. řádek
párového pořadí</t>
        </r>
      </text>
    </comment>
    <comment ref="AU29" authorId="0">
      <text>
        <r>
          <rPr>
            <b/>
            <sz val="8"/>
            <rFont val="Tahoma"/>
            <family val="0"/>
          </rPr>
          <t>2. řádek
párového pořadí</t>
        </r>
      </text>
    </comment>
    <comment ref="AU30" authorId="0">
      <text>
        <r>
          <rPr>
            <b/>
            <sz val="8"/>
            <rFont val="Tahoma"/>
            <family val="0"/>
          </rPr>
          <t>pořadí utkání
párového pořadí</t>
        </r>
      </text>
    </comment>
    <comment ref="AU31" authorId="0">
      <text>
        <r>
          <rPr>
            <b/>
            <sz val="8"/>
            <rFont val="Tahoma"/>
            <family val="0"/>
          </rPr>
          <t>řádek
lepšího družstva
párového pořadí</t>
        </r>
      </text>
    </comment>
    <comment ref="AW20" authorId="0">
      <text>
        <r>
          <rPr>
            <b/>
            <sz val="8"/>
            <rFont val="Tahoma"/>
            <family val="0"/>
          </rPr>
          <t>5+1</t>
        </r>
      </text>
    </comment>
    <comment ref="AV27" authorId="0">
      <text>
        <r>
          <rPr>
            <b/>
            <sz val="8"/>
            <rFont val="Tahoma"/>
            <family val="0"/>
          </rPr>
          <t>paterné
pořadí</t>
        </r>
      </text>
    </comment>
    <comment ref="AW27" authorId="0">
      <text>
        <r>
          <rPr>
            <b/>
            <sz val="8"/>
            <rFont val="Tahoma"/>
            <family val="0"/>
          </rPr>
          <t>1. řádek
paterného pořadí</t>
        </r>
      </text>
    </comment>
    <comment ref="AV28" authorId="0">
      <text>
        <r>
          <rPr>
            <b/>
            <sz val="8"/>
            <rFont val="Tahoma"/>
            <family val="0"/>
          </rPr>
          <t>2. řádek
paterného pořadí</t>
        </r>
      </text>
    </comment>
    <comment ref="AW28" authorId="0">
      <text>
        <r>
          <rPr>
            <b/>
            <sz val="8"/>
            <rFont val="Tahoma"/>
            <family val="0"/>
          </rPr>
          <t>3. řádek
paterného pořadí</t>
        </r>
      </text>
    </comment>
    <comment ref="AV29" authorId="0">
      <text>
        <r>
          <rPr>
            <b/>
            <sz val="8"/>
            <rFont val="Tahoma"/>
            <family val="0"/>
          </rPr>
          <t>4. řádek
paterného pořadí</t>
        </r>
      </text>
    </comment>
    <comment ref="AW29" authorId="0">
      <text>
        <r>
          <rPr>
            <b/>
            <sz val="8"/>
            <rFont val="Tahoma"/>
            <family val="0"/>
          </rPr>
          <t>4. řádek
paterného pořadí</t>
        </r>
      </text>
    </comment>
    <comment ref="AV30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W30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V31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V32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V33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V34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V35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V36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V37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V38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V39" authorId="0">
      <text>
        <r>
          <rPr>
            <b/>
            <sz val="8"/>
            <rFont val="Tahoma"/>
            <family val="0"/>
          </rPr>
          <t>soupeři (utkání)
paterného pořadí</t>
        </r>
      </text>
    </comment>
    <comment ref="AW31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W32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W33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W34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W35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W36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W37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W38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  <comment ref="AW39" authorId="0">
      <text>
        <r>
          <rPr>
            <b/>
            <sz val="8"/>
            <rFont val="Tahoma"/>
            <family val="0"/>
          </rPr>
          <t>pořadí utkání
paterného pořadí</t>
        </r>
      </text>
    </comment>
  </commentList>
</comments>
</file>

<file path=xl/comments6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R5" authorId="0">
      <text>
        <r>
          <rPr>
            <b/>
            <sz val="8"/>
            <rFont val="Tahoma"/>
            <family val="0"/>
          </rPr>
          <t>zadej
bodování</t>
        </r>
      </text>
    </comment>
    <comment ref="N10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10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F28" authorId="1">
      <text>
        <r>
          <rPr>
            <b/>
            <sz val="9"/>
            <rFont val="Tahoma"/>
            <family val="0"/>
          </rPr>
          <t>utkání družstev
ze třetích míst
základních skupin</t>
        </r>
      </text>
    </comment>
    <comment ref="F29" authorId="1">
      <text>
        <r>
          <rPr>
            <b/>
            <sz val="9"/>
            <rFont val="Tahoma"/>
            <family val="0"/>
          </rPr>
          <t>křížové
semifinále 1</t>
        </r>
      </text>
    </comment>
    <comment ref="F30" authorId="1">
      <text>
        <r>
          <rPr>
            <b/>
            <sz val="9"/>
            <rFont val="Tahoma"/>
            <family val="0"/>
          </rPr>
          <t>křížové
semifinále 2</t>
        </r>
      </text>
    </comment>
    <comment ref="F31" authorId="1">
      <text>
        <r>
          <rPr>
            <b/>
            <sz val="9"/>
            <rFont val="Tahoma"/>
            <family val="0"/>
          </rPr>
          <t>poražení
ze semifinále</t>
        </r>
      </text>
    </comment>
    <comment ref="F32" authorId="1">
      <text>
        <r>
          <rPr>
            <b/>
            <sz val="9"/>
            <rFont val="Tahoma"/>
            <family val="0"/>
          </rPr>
          <t>vítězové
ze semifinále</t>
        </r>
      </text>
    </comment>
  </commentList>
</comments>
</file>

<file path=xl/comments7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R5" authorId="0">
      <text>
        <r>
          <rPr>
            <b/>
            <sz val="8"/>
            <rFont val="Tahoma"/>
            <family val="0"/>
          </rPr>
          <t>zadej
bodování</t>
        </r>
      </text>
    </comment>
    <comment ref="N10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10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F28" authorId="1">
      <text>
        <r>
          <rPr>
            <b/>
            <sz val="9"/>
            <rFont val="Tahoma"/>
            <family val="0"/>
          </rPr>
          <t>utkání
o 5. místo</t>
        </r>
      </text>
    </comment>
    <comment ref="F29" authorId="1">
      <text>
        <r>
          <rPr>
            <b/>
            <sz val="9"/>
            <rFont val="Tahoma"/>
            <family val="0"/>
          </rPr>
          <t>utkání
o 3. místo</t>
        </r>
      </text>
    </comment>
    <comment ref="F30" authorId="1">
      <text>
        <r>
          <rPr>
            <b/>
            <sz val="9"/>
            <rFont val="Tahoma"/>
            <family val="0"/>
          </rPr>
          <t>utkání
o 1. místo</t>
        </r>
      </text>
    </comment>
  </commentList>
</comments>
</file>

<file path=xl/comments8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R5" authorId="0">
      <text>
        <r>
          <rPr>
            <b/>
            <sz val="8"/>
            <rFont val="Tahoma"/>
            <family val="0"/>
          </rPr>
          <t>zadej
bodování</t>
        </r>
      </text>
    </comment>
    <comment ref="N11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P11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Y26" authorId="0">
      <text>
        <r>
          <rPr>
            <b/>
            <sz val="8"/>
            <rFont val="Tahoma"/>
            <family val="0"/>
          </rPr>
          <t>párové
pořadí</t>
        </r>
      </text>
    </comment>
    <comment ref="Y27" authorId="0">
      <text>
        <r>
          <rPr>
            <b/>
            <sz val="8"/>
            <rFont val="Tahoma"/>
            <family val="0"/>
          </rPr>
          <t>řádek
1. párového</t>
        </r>
      </text>
    </comment>
    <comment ref="Y28" authorId="0">
      <text>
        <r>
          <rPr>
            <b/>
            <sz val="8"/>
            <rFont val="Tahoma"/>
            <family val="0"/>
          </rPr>
          <t>řádek
2. párového</t>
        </r>
      </text>
    </comment>
    <comment ref="Y29" authorId="0">
      <text>
        <r>
          <rPr>
            <b/>
            <sz val="8"/>
            <rFont val="Tahoma"/>
            <family val="0"/>
          </rPr>
          <t>soupeři
(utkání)</t>
        </r>
      </text>
    </comment>
    <comment ref="Y30" authorId="0">
      <text>
        <r>
          <rPr>
            <b/>
            <sz val="8"/>
            <rFont val="Tahoma"/>
            <family val="0"/>
          </rPr>
          <t>pořadí
utkání</t>
        </r>
      </text>
    </comment>
    <comment ref="Y31" authorId="0">
      <text>
        <r>
          <rPr>
            <b/>
            <sz val="8"/>
            <rFont val="Tahoma"/>
            <family val="0"/>
          </rPr>
          <t>řádek
lepšího družstva</t>
        </r>
      </text>
    </comment>
    <comment ref="AA26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A27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B26" authorId="0">
      <text>
        <r>
          <rPr>
            <b/>
            <sz val="8"/>
            <rFont val="Tahoma"/>
            <family val="0"/>
          </rPr>
          <t>1. řádek vyššího
párového pořadí</t>
        </r>
      </text>
    </comment>
    <comment ref="AB27" authorId="0">
      <text>
        <r>
          <rPr>
            <b/>
            <sz val="8"/>
            <rFont val="Tahoma"/>
            <family val="0"/>
          </rPr>
          <t>2. řádek vyššího
párového pořadí</t>
        </r>
      </text>
    </comment>
    <comment ref="AA28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A29" authorId="0">
      <text>
        <r>
          <rPr>
            <b/>
            <sz val="8"/>
            <rFont val="Tahoma"/>
            <family val="0"/>
          </rPr>
          <t>pořadí utkání
vyššího párového pořadí</t>
        </r>
      </text>
    </comment>
    <comment ref="AA30" authorId="0">
      <text>
        <r>
          <rPr>
            <b/>
            <sz val="8"/>
            <rFont val="Tahoma"/>
            <family val="0"/>
          </rPr>
          <t>řádek
lepšího družstva
vyššího párového pořadí</t>
        </r>
      </text>
    </comment>
    <comment ref="AB28" authorId="0">
      <text>
        <r>
          <rPr>
            <b/>
            <sz val="8"/>
            <rFont val="Tahoma"/>
            <family val="0"/>
          </rPr>
          <t>soupeři (utkání)
vyššího párového pořadí</t>
        </r>
      </text>
    </comment>
    <comment ref="AB29" authorId="0">
      <text>
        <r>
          <rPr>
            <b/>
            <sz val="8"/>
            <rFont val="Tahoma"/>
            <family val="0"/>
          </rPr>
          <t>pořadí utkání
nižšího párového pořadí</t>
        </r>
      </text>
    </comment>
    <comment ref="AB30" authorId="0">
      <text>
        <r>
          <rPr>
            <b/>
            <sz val="8"/>
            <rFont val="Tahoma"/>
            <family val="0"/>
          </rPr>
          <t>řádek
lepšího družstva
nižšího párového pořadí</t>
        </r>
      </text>
    </comment>
    <comment ref="AC26" authorId="0">
      <text>
        <r>
          <rPr>
            <b/>
            <sz val="8"/>
            <rFont val="Tahoma"/>
            <family val="0"/>
          </rPr>
          <t>trojité
pořadí</t>
        </r>
      </text>
    </comment>
    <comment ref="AC27" authorId="0">
      <text>
        <r>
          <rPr>
            <b/>
            <sz val="8"/>
            <rFont val="Tahoma"/>
            <family val="0"/>
          </rPr>
          <t>1. řádek
trojitého pořadí</t>
        </r>
      </text>
    </comment>
    <comment ref="AC28" authorId="0">
      <text>
        <r>
          <rPr>
            <b/>
            <sz val="8"/>
            <rFont val="Tahoma"/>
            <family val="0"/>
          </rPr>
          <t>2. řádek
trojitého pořadí</t>
        </r>
      </text>
    </comment>
    <comment ref="AC29" authorId="0">
      <text>
        <r>
          <rPr>
            <b/>
            <sz val="8"/>
            <rFont val="Tahoma"/>
            <family val="0"/>
          </rPr>
          <t>3. řádek
trojitého pořadí</t>
        </r>
      </text>
    </comment>
    <comment ref="AC30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30" authorId="0">
      <text>
        <r>
          <rPr>
            <b/>
            <sz val="8"/>
            <rFont val="Tahoma"/>
            <family val="0"/>
          </rPr>
          <t>číslo 1. utkání
z minitabulky</t>
        </r>
      </text>
    </comment>
    <comment ref="AC31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31" authorId="0">
      <text>
        <r>
          <rPr>
            <b/>
            <sz val="8"/>
            <rFont val="Tahoma"/>
            <family val="0"/>
          </rPr>
          <t>číslo 2. utkání
z minitabulky</t>
        </r>
      </text>
    </comment>
    <comment ref="AC32" authorId="0">
      <text>
        <r>
          <rPr>
            <b/>
            <sz val="8"/>
            <rFont val="Tahoma"/>
            <family val="0"/>
          </rPr>
          <t>soupeři
z minitabulky</t>
        </r>
      </text>
    </comment>
    <comment ref="AD32" authorId="0">
      <text>
        <r>
          <rPr>
            <b/>
            <sz val="8"/>
            <rFont val="Tahoma"/>
            <family val="0"/>
          </rPr>
          <t>číslo 3. utkání
z minitabulky</t>
        </r>
      </text>
    </comment>
    <comment ref="K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F50" authorId="1">
      <text>
        <r>
          <rPr>
            <b/>
            <sz val="9"/>
            <rFont val="Tahoma"/>
            <family val="0"/>
          </rPr>
          <t>utkání družstev
ze třetích míst</t>
        </r>
      </text>
    </comment>
    <comment ref="F51" authorId="1">
      <text>
        <r>
          <rPr>
            <b/>
            <sz val="9"/>
            <rFont val="Tahoma"/>
            <family val="0"/>
          </rPr>
          <t>utkání družstev
z druhých míst</t>
        </r>
      </text>
    </comment>
    <comment ref="F52" authorId="1">
      <text>
        <r>
          <rPr>
            <b/>
            <sz val="9"/>
            <rFont val="Tahoma"/>
            <family val="0"/>
          </rPr>
          <t>utkání družstev
z prvních míst</t>
        </r>
      </text>
    </comment>
  </commentList>
</comments>
</file>

<file path=xl/comments9.xml><?xml version="1.0" encoding="utf-8"?>
<comments xmlns="http://schemas.openxmlformats.org/spreadsheetml/2006/main">
  <authors>
    <author>Šebesta</author>
    <author>PaedDr. Zdeněk Šebesta</author>
  </authors>
  <commentList>
    <comment ref="E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K11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M11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K5" authorId="0">
      <text>
        <r>
          <rPr>
            <b/>
            <sz val="8"/>
            <rFont val="Tahoma"/>
            <family val="0"/>
          </rPr>
          <t>zadej
název družstva</t>
        </r>
      </text>
    </comment>
    <comment ref="K16" authorId="0">
      <text>
        <r>
          <rPr>
            <b/>
            <sz val="8"/>
            <rFont val="Tahoma"/>
            <family val="0"/>
          </rPr>
          <t>zadej počet
vstřelených branek</t>
        </r>
      </text>
    </comment>
    <comment ref="M16" authorId="0">
      <text>
        <r>
          <rPr>
            <b/>
            <sz val="8"/>
            <rFont val="Tahoma"/>
            <family val="0"/>
          </rPr>
          <t>zadej počet
obdržených branek</t>
        </r>
      </text>
    </comment>
    <comment ref="J7" authorId="0">
      <text>
        <r>
          <rPr>
            <b/>
            <sz val="8"/>
            <rFont val="Tahoma"/>
            <family val="0"/>
          </rPr>
          <t>ve čtvrtfinále
má volný los</t>
        </r>
      </text>
    </comment>
    <comment ref="C11" authorId="1">
      <text>
        <r>
          <rPr>
            <b/>
            <sz val="9"/>
            <rFont val="Tahoma"/>
            <family val="0"/>
          </rPr>
          <t>čtvrtfinále 1</t>
        </r>
      </text>
    </comment>
    <comment ref="C12" authorId="1">
      <text>
        <r>
          <rPr>
            <b/>
            <sz val="9"/>
            <rFont val="Tahoma"/>
            <family val="0"/>
          </rPr>
          <t>čtvrtfinále 2</t>
        </r>
      </text>
    </comment>
    <comment ref="C13" authorId="1">
      <text>
        <r>
          <rPr>
            <b/>
            <sz val="9"/>
            <rFont val="Tahoma"/>
            <family val="0"/>
          </rPr>
          <t>čtvrtfinále 3</t>
        </r>
      </text>
    </comment>
    <comment ref="C16" authorId="1">
      <text>
        <r>
          <rPr>
            <b/>
            <sz val="9"/>
            <rFont val="Tahoma"/>
            <family val="0"/>
          </rPr>
          <t>semifinále 1
vítězové utkání 1. a 2.</t>
        </r>
      </text>
    </comment>
    <comment ref="C17" authorId="1">
      <text>
        <r>
          <rPr>
            <b/>
            <sz val="9"/>
            <rFont val="Tahoma"/>
            <family val="0"/>
          </rPr>
          <t>semifinále 2
vítěz utkání 3. a
družstvo 7 (s volným losem)</t>
        </r>
      </text>
    </comment>
    <comment ref="C18" authorId="1">
      <text>
        <r>
          <rPr>
            <b/>
            <sz val="9"/>
            <rFont val="Tahoma"/>
            <family val="0"/>
          </rPr>
          <t>poražení
z utkání 1. a 2.</t>
        </r>
      </text>
    </comment>
    <comment ref="C21" authorId="1">
      <text>
        <r>
          <rPr>
            <b/>
            <sz val="9"/>
            <rFont val="Tahoma"/>
            <family val="0"/>
          </rPr>
          <t>vítěz utkání 6.
a poražený z utkání 3.</t>
        </r>
      </text>
    </comment>
    <comment ref="C22" authorId="1">
      <text>
        <r>
          <rPr>
            <b/>
            <sz val="9"/>
            <rFont val="Tahoma"/>
            <family val="0"/>
          </rPr>
          <t>poražení
ze semifinále 1 a 2
 (utkání 4. a 5.)</t>
        </r>
      </text>
    </comment>
    <comment ref="C23" authorId="1">
      <text>
        <r>
          <rPr>
            <b/>
            <sz val="9"/>
            <rFont val="Tahoma"/>
            <family val="0"/>
          </rPr>
          <t>vítězové
ze semifinále 1 a 2
 (utkání 4. a 5.)</t>
        </r>
      </text>
    </comment>
  </commentList>
</comments>
</file>

<file path=xl/sharedStrings.xml><?xml version="1.0" encoding="utf-8"?>
<sst xmlns="http://schemas.openxmlformats.org/spreadsheetml/2006/main" count="1316" uniqueCount="165">
  <si>
    <t>:</t>
  </si>
  <si>
    <t>skóre</t>
  </si>
  <si>
    <t>body</t>
  </si>
  <si>
    <t>pořadí</t>
  </si>
  <si>
    <t>rozlosování</t>
  </si>
  <si>
    <t>bodování</t>
  </si>
  <si>
    <t>výhra</t>
  </si>
  <si>
    <t>remíza</t>
  </si>
  <si>
    <t>prohra</t>
  </si>
  <si>
    <t>pořadí utkání</t>
  </si>
  <si>
    <t>1 - 2</t>
  </si>
  <si>
    <t>2 - 3</t>
  </si>
  <si>
    <t>1 - 3</t>
  </si>
  <si>
    <t>Tabulky pro turnaj tří družstev</t>
  </si>
  <si>
    <t>Tabulky pro turnaj šesti družstev</t>
  </si>
  <si>
    <t>A1</t>
  </si>
  <si>
    <t>A2</t>
  </si>
  <si>
    <t>B1</t>
  </si>
  <si>
    <t>A3</t>
  </si>
  <si>
    <t>B2</t>
  </si>
  <si>
    <t>B3</t>
  </si>
  <si>
    <t>A1 - A2</t>
  </si>
  <si>
    <t>B1 - B2</t>
  </si>
  <si>
    <t>A1 - A3</t>
  </si>
  <si>
    <t>B1 - B3</t>
  </si>
  <si>
    <t>A2 - A3</t>
  </si>
  <si>
    <t>B2 - B3</t>
  </si>
  <si>
    <t>1.</t>
  </si>
  <si>
    <t>2.</t>
  </si>
  <si>
    <t>3.</t>
  </si>
  <si>
    <t>skupina A</t>
  </si>
  <si>
    <t>4.</t>
  </si>
  <si>
    <t>5.</t>
  </si>
  <si>
    <t>6.</t>
  </si>
  <si>
    <t>skupina B</t>
  </si>
  <si>
    <t>pořadí utkání ve skupinách</t>
  </si>
  <si>
    <t>pořadí utkání o umístění</t>
  </si>
  <si>
    <t>7.</t>
  </si>
  <si>
    <t>8.</t>
  </si>
  <si>
    <t>9.</t>
  </si>
  <si>
    <t>3.A - 3.B</t>
  </si>
  <si>
    <t>1.A - 2.B</t>
  </si>
  <si>
    <t>2.A - 1.B</t>
  </si>
  <si>
    <t>o 3. m.</t>
  </si>
  <si>
    <t>10.</t>
  </si>
  <si>
    <t>11.</t>
  </si>
  <si>
    <t>finále</t>
  </si>
  <si>
    <t>celkové pořadí</t>
  </si>
  <si>
    <t>dvě skupiny, křížová semifinále a utkání o umístění</t>
  </si>
  <si>
    <t>dvě skupiny a utkání o umístění</t>
  </si>
  <si>
    <t>2.A - 2.B</t>
  </si>
  <si>
    <t>1.A - 1.B</t>
  </si>
  <si>
    <t>3 - 4</t>
  </si>
  <si>
    <t>2 - 4</t>
  </si>
  <si>
    <t>1 - 4</t>
  </si>
  <si>
    <t>Tabulky pro turnaj čtyř družstev</t>
  </si>
  <si>
    <t>1 - 5</t>
  </si>
  <si>
    <t>3 - 5</t>
  </si>
  <si>
    <t>4 - 5</t>
  </si>
  <si>
    <t>2 - 5</t>
  </si>
  <si>
    <t>minitabulka 1</t>
  </si>
  <si>
    <t>minitabulka</t>
  </si>
  <si>
    <t>C</t>
  </si>
  <si>
    <t>tabulka</t>
  </si>
  <si>
    <t>minitabulka 2</t>
  </si>
  <si>
    <t>Kritéria určení pořadí družstev v turnaji</t>
  </si>
  <si>
    <t>1. body v turnaji</t>
  </si>
  <si>
    <t>Při stejném počtu bodů dvou družstev</t>
  </si>
  <si>
    <t>1. vzájemné utkání</t>
  </si>
  <si>
    <t>2. rozdíl skóre v turnaji</t>
  </si>
  <si>
    <t>3. větší počet vstřelených branek v turnaji</t>
  </si>
  <si>
    <t>Při stejném počtu bodů tří a více družstev</t>
  </si>
  <si>
    <t>1. body ze vzájemných utkání (minitabulka)</t>
  </si>
  <si>
    <t>2. rozdíl skóre v minitabulce</t>
  </si>
  <si>
    <t>3. větší počet vstřelených branek v minitabulce</t>
  </si>
  <si>
    <t>4. rozdíl skóre v turnaji</t>
  </si>
  <si>
    <t>5. větší počet vstřelených branek v turnaji</t>
  </si>
  <si>
    <t>Při stejném počtu bodů některých družstev v minitabulce</t>
  </si>
  <si>
    <t>použijí se stejná kritéria, jako pro tabulku turnaje,</t>
  </si>
  <si>
    <t>tzn. že v minitabulce může být vnořena další minitabulka</t>
  </si>
  <si>
    <t xml:space="preserve">Pokud výše uvedená kritéria nerozhodnou </t>
  </si>
  <si>
    <t>pokutové kopy, trestné hody, samostatné nájezdy, zkrácené hry,</t>
  </si>
  <si>
    <t>jen ne los !!!</t>
  </si>
  <si>
    <t>12.</t>
  </si>
  <si>
    <t>13.</t>
  </si>
  <si>
    <t>14.</t>
  </si>
  <si>
    <t>15.</t>
  </si>
  <si>
    <t>5 - 6</t>
  </si>
  <si>
    <t>3 - 6</t>
  </si>
  <si>
    <t>1 - 6</t>
  </si>
  <si>
    <t>4 - 6</t>
  </si>
  <si>
    <t>2 - 6</t>
  </si>
  <si>
    <t>minitabulka 3</t>
  </si>
  <si>
    <t>minitabulka 4</t>
  </si>
  <si>
    <t>Tabulky pro turnaj devíti družstev</t>
  </si>
  <si>
    <t>C1</t>
  </si>
  <si>
    <t>C2</t>
  </si>
  <si>
    <t>C3</t>
  </si>
  <si>
    <t>C2 - C3</t>
  </si>
  <si>
    <t>C1 - C3</t>
  </si>
  <si>
    <t>C1 - C2</t>
  </si>
  <si>
    <t>skupina C</t>
  </si>
  <si>
    <t>pořadí utkání o umístění ve skupinách</t>
  </si>
  <si>
    <t>7. - 9. místo</t>
  </si>
  <si>
    <t>1. - 3. místo</t>
  </si>
  <si>
    <t>4. - 6. místo</t>
  </si>
  <si>
    <t>1.A - 1.C</t>
  </si>
  <si>
    <t>2.A - 2.C</t>
  </si>
  <si>
    <t>3.A - 3.C</t>
  </si>
  <si>
    <t>1.B - 1.C</t>
  </si>
  <si>
    <t>2.B - 2.C</t>
  </si>
  <si>
    <t>3.B - 3.C</t>
  </si>
  <si>
    <t>konečné pořadí</t>
  </si>
  <si>
    <t>tři skupiny, vítězové a nejlepší druhý Play Off</t>
  </si>
  <si>
    <t>1.1. - 1.2.</t>
  </si>
  <si>
    <t>2.1. - 3.1.</t>
  </si>
  <si>
    <t>pořadí utkání Play Off</t>
  </si>
  <si>
    <t>A4</t>
  </si>
  <si>
    <t>B4</t>
  </si>
  <si>
    <t>pořadí utkání skupiny A</t>
  </si>
  <si>
    <t>pořadí utkání skupiny B</t>
  </si>
  <si>
    <t>4.A - 4.B</t>
  </si>
  <si>
    <t>dvě skupiny, utkání o umístění</t>
  </si>
  <si>
    <t>7 - 8</t>
  </si>
  <si>
    <t>V1 - V2</t>
  </si>
  <si>
    <t>V3 - V4</t>
  </si>
  <si>
    <t>P1 - P2</t>
  </si>
  <si>
    <t>P3 - P4</t>
  </si>
  <si>
    <t>o 7. m.</t>
  </si>
  <si>
    <t>o 5. m.</t>
  </si>
  <si>
    <t>Play Off - čtvrtfinále</t>
  </si>
  <si>
    <t>Play Off - semifinále</t>
  </si>
  <si>
    <t>Play Off - finále</t>
  </si>
  <si>
    <t>Tabulky pro turnaj osmi družstev</t>
  </si>
  <si>
    <t>Tabulky pro turnaj sedmi družstev</t>
  </si>
  <si>
    <t>V3 - 7</t>
  </si>
  <si>
    <t>A3 - A4</t>
  </si>
  <si>
    <t>A2 - A4</t>
  </si>
  <si>
    <t>A1 - A4</t>
  </si>
  <si>
    <t>tři základní skupiny a tři skupiny o umístění</t>
  </si>
  <si>
    <t>Play Off - pavouk</t>
  </si>
  <si>
    <t>čtvrtfinále</t>
  </si>
  <si>
    <t>o 1. místo</t>
  </si>
  <si>
    <t>o 3. místo</t>
  </si>
  <si>
    <t>semifinále vítězů</t>
  </si>
  <si>
    <t>semifinále poražených</t>
  </si>
  <si>
    <t>o 5. místo</t>
  </si>
  <si>
    <t>o 7. místo</t>
  </si>
  <si>
    <t>pavouk pro osm družstev</t>
  </si>
  <si>
    <t>pavouk pro sedm družstev</t>
  </si>
  <si>
    <t>A1-B2</t>
  </si>
  <si>
    <t>A2-B1</t>
  </si>
  <si>
    <t>skupina 5.-7.</t>
  </si>
  <si>
    <t>16.</t>
  </si>
  <si>
    <t>A3-B3</t>
  </si>
  <si>
    <t>A4-B3</t>
  </si>
  <si>
    <t>A3-A4</t>
  </si>
  <si>
    <t>pořadí utkání skupiny 5.-7. a Play Off</t>
  </si>
  <si>
    <t>dvě skupiny, 1.-4. Play Off, 5.-7. skupina o umístění</t>
  </si>
  <si>
    <t>Velká</t>
  </si>
  <si>
    <t>Gym.Nowy Dwór</t>
  </si>
  <si>
    <t>Lipov</t>
  </si>
  <si>
    <t>Hroznová Lhota</t>
  </si>
  <si>
    <t>Kmiecyn a Marzecino</t>
  </si>
  <si>
    <t xml:space="preserve">  Florbal /unihokej/ dívky 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</si>
</sst>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0"/>
    <numFmt numFmtId="169" formatCode="0.0000000000"/>
    <numFmt numFmtId="170" formatCode="0.0000000"/>
  </numFmts>
  <fonts count="54">
    <font>
      <sz val="10"/>
      <name val="Arial"/>
      <family val="0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8"/>
      <name val="Arial"/>
      <family val="0"/>
    </font>
    <font>
      <sz val="10"/>
      <color indexed="51"/>
      <name val="Arial"/>
      <family val="0"/>
    </font>
    <font>
      <sz val="12"/>
      <color indexed="51"/>
      <name val="Arial Narrow"/>
      <family val="2"/>
    </font>
    <font>
      <sz val="10"/>
      <color indexed="9"/>
      <name val="Arial"/>
      <family val="0"/>
    </font>
    <font>
      <b/>
      <sz val="26"/>
      <name val="Arial Narrow"/>
      <family val="2"/>
    </font>
    <font>
      <sz val="12"/>
      <color indexed="9"/>
      <name val="Arial Narrow"/>
      <family val="2"/>
    </font>
    <font>
      <b/>
      <sz val="8"/>
      <name val="Tahoma"/>
      <family val="0"/>
    </font>
    <font>
      <sz val="13.5"/>
      <name val="Arial"/>
      <family val="0"/>
    </font>
    <font>
      <b/>
      <sz val="10"/>
      <name val="Arial"/>
      <family val="2"/>
    </font>
    <font>
      <b/>
      <sz val="12"/>
      <color indexed="51"/>
      <name val="Arial Narrow"/>
      <family val="2"/>
    </font>
    <font>
      <b/>
      <sz val="12"/>
      <color indexed="9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6" fillId="32" borderId="0" xfId="0" applyFont="1" applyFill="1" applyBorder="1" applyAlignment="1" applyProtection="1">
      <alignment vertical="center"/>
      <protection hidden="1"/>
    </xf>
    <xf numFmtId="0" fontId="7" fillId="32" borderId="12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right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left" vertical="center"/>
      <protection hidden="1"/>
    </xf>
    <xf numFmtId="0" fontId="4" fillId="34" borderId="13" xfId="0" applyFont="1" applyFill="1" applyBorder="1" applyAlignment="1" applyProtection="1">
      <alignment horizontal="right" vertical="center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4" fillId="34" borderId="14" xfId="0" applyFont="1" applyFill="1" applyBorder="1" applyAlignment="1" applyProtection="1">
      <alignment horizontal="left" vertical="center"/>
      <protection hidden="1"/>
    </xf>
    <xf numFmtId="1" fontId="4" fillId="34" borderId="15" xfId="0" applyNumberFormat="1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righ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6" fillId="32" borderId="20" xfId="0" applyFont="1" applyFill="1" applyBorder="1" applyAlignment="1" applyProtection="1">
      <alignment vertical="center"/>
      <protection hidden="1"/>
    </xf>
    <xf numFmtId="0" fontId="7" fillId="32" borderId="18" xfId="0" applyFont="1" applyFill="1" applyBorder="1" applyAlignment="1" applyProtection="1">
      <alignment vertical="center"/>
      <protection hidden="1"/>
    </xf>
    <xf numFmtId="0" fontId="6" fillId="32" borderId="20" xfId="0" applyFont="1" applyFill="1" applyBorder="1" applyAlignment="1" applyProtection="1">
      <alignment horizontal="left" vertical="center"/>
      <protection hidden="1"/>
    </xf>
    <xf numFmtId="0" fontId="4" fillId="34" borderId="17" xfId="0" applyFont="1" applyFill="1" applyBorder="1" applyAlignment="1" applyProtection="1">
      <alignment horizontal="right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left" vertical="center"/>
      <protection hidden="1"/>
    </xf>
    <xf numFmtId="1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right" vertical="center"/>
      <protection hidden="1" locked="0"/>
    </xf>
    <xf numFmtId="0" fontId="4" fillId="34" borderId="23" xfId="0" applyFont="1" applyFill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horizontal="right" vertical="center"/>
      <protection hidden="1" locked="0"/>
    </xf>
    <xf numFmtId="0" fontId="4" fillId="34" borderId="24" xfId="0" applyFont="1" applyFill="1" applyBorder="1" applyAlignment="1" applyProtection="1">
      <alignment horizontal="left" vertical="center"/>
      <protection hidden="1" locked="0"/>
    </xf>
    <xf numFmtId="0" fontId="1" fillId="33" borderId="16" xfId="0" applyFont="1" applyFill="1" applyBorder="1" applyAlignment="1" applyProtection="1">
      <alignment horizontal="center" vertical="center"/>
      <protection hidden="1" locked="0"/>
    </xf>
    <xf numFmtId="0" fontId="1" fillId="33" borderId="22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4" fillId="34" borderId="12" xfId="0" applyFont="1" applyFill="1" applyBorder="1" applyAlignment="1" applyProtection="1">
      <alignment horizontal="right" vertical="center"/>
      <protection hidden="1" locked="0"/>
    </xf>
    <xf numFmtId="0" fontId="4" fillId="34" borderId="25" xfId="0" applyFont="1" applyFill="1" applyBorder="1" applyAlignment="1" applyProtection="1">
      <alignment horizontal="right" vertical="center"/>
      <protection hidden="1" locked="0"/>
    </xf>
    <xf numFmtId="0" fontId="4" fillId="34" borderId="26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 applyProtection="1">
      <alignment horizontal="left" vertical="center"/>
      <protection hidden="1" locked="0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left" vertical="center"/>
      <protection hidden="1" locked="0"/>
    </xf>
    <xf numFmtId="0" fontId="4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34" borderId="30" xfId="0" applyFont="1" applyFill="1" applyBorder="1" applyAlignment="1" applyProtection="1">
      <alignment horizontal="right" vertical="center"/>
      <protection hidden="1" locked="0"/>
    </xf>
    <xf numFmtId="0" fontId="4" fillId="33" borderId="3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31" xfId="0" applyFont="1" applyFill="1" applyBorder="1" applyAlignment="1" applyProtection="1">
      <alignment horizontal="left" vertical="center"/>
      <protection hidden="1"/>
    </xf>
    <xf numFmtId="0" fontId="4" fillId="34" borderId="30" xfId="0" applyFont="1" applyFill="1" applyBorder="1" applyAlignment="1" applyProtection="1">
      <alignment horizontal="right" vertical="center"/>
      <protection hidden="1"/>
    </xf>
    <xf numFmtId="0" fontId="4" fillId="34" borderId="31" xfId="0" applyFont="1" applyFill="1" applyBorder="1" applyAlignment="1" applyProtection="1">
      <alignment horizontal="left" vertical="center"/>
      <protection hidden="1"/>
    </xf>
    <xf numFmtId="1" fontId="4" fillId="34" borderId="3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 vertical="center" shrinkToFit="1"/>
      <protection hidden="1"/>
    </xf>
    <xf numFmtId="0" fontId="4" fillId="32" borderId="34" xfId="0" applyFont="1" applyFill="1" applyBorder="1" applyAlignment="1" applyProtection="1">
      <alignment horizontal="center" vertical="center" shrinkToFit="1"/>
      <protection hidden="1"/>
    </xf>
    <xf numFmtId="0" fontId="4" fillId="32" borderId="35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6" fillId="32" borderId="12" xfId="0" applyFont="1" applyFill="1" applyBorder="1" applyAlignment="1" applyProtection="1">
      <alignment vertical="center"/>
      <protection hidden="1"/>
    </xf>
    <xf numFmtId="0" fontId="6" fillId="32" borderId="12" xfId="0" applyFont="1" applyFill="1" applyBorder="1" applyAlignment="1" applyProtection="1">
      <alignment horizontal="left" vertical="center"/>
      <protection hidden="1"/>
    </xf>
    <xf numFmtId="0" fontId="7" fillId="32" borderId="20" xfId="0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33" borderId="13" xfId="0" applyFont="1" applyFill="1" applyBorder="1" applyAlignment="1" applyProtection="1">
      <alignment vertical="center"/>
      <protection hidden="1"/>
    </xf>
    <xf numFmtId="0" fontId="14" fillId="32" borderId="0" xfId="0" applyFont="1" applyFill="1" applyBorder="1" applyAlignment="1" applyProtection="1">
      <alignment vertical="center"/>
      <protection hidden="1"/>
    </xf>
    <xf numFmtId="0" fontId="14" fillId="32" borderId="12" xfId="0" applyFont="1" applyFill="1" applyBorder="1" applyAlignment="1" applyProtection="1">
      <alignment vertical="center"/>
      <protection hidden="1"/>
    </xf>
    <xf numFmtId="0" fontId="14" fillId="32" borderId="18" xfId="0" applyFont="1" applyFill="1" applyBorder="1" applyAlignment="1" applyProtection="1">
      <alignment vertical="center"/>
      <protection hidden="1"/>
    </xf>
    <xf numFmtId="0" fontId="14" fillId="32" borderId="0" xfId="0" applyFont="1" applyFill="1" applyBorder="1" applyAlignment="1" applyProtection="1">
      <alignment horizontal="left" vertical="center"/>
      <protection hidden="1"/>
    </xf>
    <xf numFmtId="0" fontId="14" fillId="32" borderId="12" xfId="0" applyFont="1" applyFill="1" applyBorder="1" applyAlignment="1" applyProtection="1">
      <alignment horizontal="left" vertical="center"/>
      <protection hidden="1"/>
    </xf>
    <xf numFmtId="0" fontId="14" fillId="32" borderId="20" xfId="0" applyFont="1" applyFill="1" applyBorder="1" applyAlignment="1" applyProtection="1">
      <alignment vertical="center"/>
      <protection hidden="1"/>
    </xf>
    <xf numFmtId="0" fontId="14" fillId="32" borderId="20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32" borderId="18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4" fillId="34" borderId="33" xfId="0" applyFont="1" applyFill="1" applyBorder="1" applyAlignment="1" applyProtection="1">
      <alignment horizontal="center" vertical="center"/>
      <protection hidden="1"/>
    </xf>
    <xf numFmtId="0" fontId="4" fillId="34" borderId="36" xfId="0" applyFont="1" applyFill="1" applyBorder="1" applyAlignment="1" applyProtection="1">
      <alignment horizontal="center" vertical="center"/>
      <protection hidden="1"/>
    </xf>
    <xf numFmtId="0" fontId="4" fillId="34" borderId="34" xfId="0" applyFont="1" applyFill="1" applyBorder="1" applyAlignment="1" applyProtection="1">
      <alignment horizontal="center" vertical="center"/>
      <protection hidden="1"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vertical="center"/>
      <protection hidden="1"/>
    </xf>
    <xf numFmtId="0" fontId="1" fillId="32" borderId="12" xfId="0" applyFont="1" applyFill="1" applyBorder="1" applyAlignment="1" applyProtection="1">
      <alignment vertical="center"/>
      <protection hidden="1"/>
    </xf>
    <xf numFmtId="0" fontId="0" fillId="32" borderId="0" xfId="0" applyFont="1" applyFill="1" applyBorder="1" applyAlignment="1" applyProtection="1">
      <alignment horizontal="left" vertical="center"/>
      <protection hidden="1"/>
    </xf>
    <xf numFmtId="0" fontId="0" fillId="32" borderId="0" xfId="0" applyFont="1" applyFill="1" applyBorder="1" applyAlignment="1" applyProtection="1">
      <alignment vertical="center"/>
      <protection hidden="1"/>
    </xf>
    <xf numFmtId="0" fontId="0" fillId="32" borderId="12" xfId="0" applyFont="1" applyFill="1" applyBorder="1" applyAlignment="1" applyProtection="1">
      <alignment vertical="center"/>
      <protection hidden="1"/>
    </xf>
    <xf numFmtId="0" fontId="0" fillId="32" borderId="12" xfId="0" applyFont="1" applyFill="1" applyBorder="1" applyAlignment="1" applyProtection="1">
      <alignment horizontal="left" vertical="center"/>
      <protection hidden="1"/>
    </xf>
    <xf numFmtId="0" fontId="0" fillId="32" borderId="20" xfId="0" applyFont="1" applyFill="1" applyBorder="1" applyAlignment="1" applyProtection="1">
      <alignment vertical="center"/>
      <protection hidden="1"/>
    </xf>
    <xf numFmtId="0" fontId="1" fillId="32" borderId="20" xfId="0" applyFont="1" applyFill="1" applyBorder="1" applyAlignment="1" applyProtection="1">
      <alignment vertical="center"/>
      <protection hidden="1"/>
    </xf>
    <xf numFmtId="0" fontId="0" fillId="32" borderId="20" xfId="0" applyFont="1" applyFill="1" applyBorder="1" applyAlignment="1" applyProtection="1">
      <alignment horizontal="left" vertical="center"/>
      <protection hidden="1"/>
    </xf>
    <xf numFmtId="0" fontId="13" fillId="32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0" fillId="32" borderId="0" xfId="0" applyFont="1" applyFill="1" applyBorder="1" applyAlignment="1" applyProtection="1">
      <alignment horizontal="left" vertical="center"/>
      <protection hidden="1"/>
    </xf>
    <xf numFmtId="0" fontId="0" fillId="32" borderId="12" xfId="0" applyFont="1" applyFill="1" applyBorder="1" applyAlignment="1" applyProtection="1">
      <alignment vertical="center"/>
      <protection hidden="1"/>
    </xf>
    <xf numFmtId="0" fontId="0" fillId="32" borderId="12" xfId="0" applyFont="1" applyFill="1" applyBorder="1" applyAlignment="1" applyProtection="1">
      <alignment horizontal="left" vertical="center"/>
      <protection hidden="1"/>
    </xf>
    <xf numFmtId="0" fontId="0" fillId="32" borderId="20" xfId="0" applyFont="1" applyFill="1" applyBorder="1" applyAlignment="1" applyProtection="1">
      <alignment vertical="center"/>
      <protection hidden="1"/>
    </xf>
    <xf numFmtId="0" fontId="0" fillId="32" borderId="20" xfId="0" applyFont="1" applyFill="1" applyBorder="1" applyAlignment="1" applyProtection="1">
      <alignment horizontal="left" vertical="center"/>
      <protection hidden="1"/>
    </xf>
    <xf numFmtId="0" fontId="4" fillId="34" borderId="37" xfId="0" applyFont="1" applyFill="1" applyBorder="1" applyAlignment="1" applyProtection="1">
      <alignment horizontal="center" vertical="center"/>
      <protection hidden="1"/>
    </xf>
    <xf numFmtId="0" fontId="4" fillId="34" borderId="26" xfId="0" applyFont="1" applyFill="1" applyBorder="1" applyAlignment="1" applyProtection="1">
      <alignment horizontal="right" vertical="center"/>
      <protection hidden="1" locked="0"/>
    </xf>
    <xf numFmtId="0" fontId="4" fillId="34" borderId="20" xfId="0" applyFont="1" applyFill="1" applyBorder="1" applyAlignment="1" applyProtection="1">
      <alignment horizontal="right" vertical="center"/>
      <protection hidden="1" locked="0"/>
    </xf>
    <xf numFmtId="0" fontId="1" fillId="34" borderId="38" xfId="0" applyFont="1" applyFill="1" applyBorder="1" applyAlignment="1" applyProtection="1">
      <alignment horizontal="center" vertical="center"/>
      <protection hidden="1"/>
    </xf>
    <xf numFmtId="0" fontId="1" fillId="34" borderId="39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2" borderId="12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left" vertical="center"/>
      <protection hidden="1"/>
    </xf>
    <xf numFmtId="0" fontId="4" fillId="32" borderId="12" xfId="0" applyFont="1" applyFill="1" applyBorder="1" applyAlignment="1" applyProtection="1">
      <alignment horizontal="left" vertical="center"/>
      <protection hidden="1"/>
    </xf>
    <xf numFmtId="0" fontId="4" fillId="32" borderId="20" xfId="0" applyFont="1" applyFill="1" applyBorder="1" applyAlignment="1" applyProtection="1">
      <alignment vertical="center"/>
      <protection hidden="1"/>
    </xf>
    <xf numFmtId="0" fontId="4" fillId="32" borderId="20" xfId="0" applyFont="1" applyFill="1" applyBorder="1" applyAlignment="1" applyProtection="1">
      <alignment horizontal="left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2" borderId="18" xfId="0" applyFont="1" applyFill="1" applyBorder="1" applyAlignment="1" applyProtection="1">
      <alignment vertical="center"/>
      <protection hidden="1"/>
    </xf>
    <xf numFmtId="169" fontId="4" fillId="35" borderId="40" xfId="0" applyNumberFormat="1" applyFont="1" applyFill="1" applyBorder="1" applyAlignment="1" applyProtection="1">
      <alignment vertical="center"/>
      <protection hidden="1"/>
    </xf>
    <xf numFmtId="169" fontId="4" fillId="35" borderId="0" xfId="0" applyNumberFormat="1" applyFont="1" applyFill="1" applyBorder="1" applyAlignment="1" applyProtection="1">
      <alignment vertical="center"/>
      <protection hidden="1"/>
    </xf>
    <xf numFmtId="0" fontId="13" fillId="34" borderId="15" xfId="0" applyFont="1" applyFill="1" applyBorder="1" applyAlignment="1">
      <alignment horizontal="center" vertical="center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>
      <alignment vertical="center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34" borderId="42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4" borderId="43" xfId="0" applyFont="1" applyFill="1" applyBorder="1" applyAlignment="1" applyProtection="1">
      <alignment horizontal="center" vertical="center"/>
      <protection hidden="1"/>
    </xf>
    <xf numFmtId="0" fontId="4" fillId="34" borderId="44" xfId="0" applyFont="1" applyFill="1" applyBorder="1" applyAlignment="1" applyProtection="1">
      <alignment horizontal="right" vertical="center"/>
      <protection hidden="1" locked="0"/>
    </xf>
    <xf numFmtId="0" fontId="4" fillId="34" borderId="44" xfId="0" applyFont="1" applyFill="1" applyBorder="1" applyAlignment="1" applyProtection="1">
      <alignment horizontal="center" vertical="center"/>
      <protection hidden="1"/>
    </xf>
    <xf numFmtId="0" fontId="4" fillId="34" borderId="45" xfId="0" applyFont="1" applyFill="1" applyBorder="1" applyAlignment="1" applyProtection="1">
      <alignment horizontal="left" vertical="center"/>
      <protection hidden="1" locked="0"/>
    </xf>
    <xf numFmtId="0" fontId="4" fillId="34" borderId="46" xfId="0" applyFont="1" applyFill="1" applyBorder="1" applyAlignment="1" applyProtection="1">
      <alignment horizontal="right" vertical="center"/>
      <protection hidden="1" locked="0"/>
    </xf>
    <xf numFmtId="0" fontId="4" fillId="34" borderId="47" xfId="0" applyFont="1" applyFill="1" applyBorder="1" applyAlignment="1" applyProtection="1">
      <alignment horizontal="center" vertical="center"/>
      <protection hidden="1"/>
    </xf>
    <xf numFmtId="0" fontId="4" fillId="34" borderId="48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2" borderId="18" xfId="0" applyFont="1" applyFill="1" applyBorder="1" applyAlignment="1" applyProtection="1">
      <alignment vertical="center"/>
      <protection hidden="1"/>
    </xf>
    <xf numFmtId="0" fontId="1" fillId="32" borderId="18" xfId="0" applyFont="1" applyFill="1" applyBorder="1" applyAlignment="1" applyProtection="1">
      <alignment vertical="center"/>
      <protection hidden="1"/>
    </xf>
    <xf numFmtId="0" fontId="1" fillId="34" borderId="49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shrinkToFit="1"/>
      <protection hidden="1" locked="0"/>
    </xf>
    <xf numFmtId="0" fontId="1" fillId="33" borderId="22" xfId="0" applyFont="1" applyFill="1" applyBorder="1" applyAlignment="1" applyProtection="1">
      <alignment horizontal="center" vertical="center" shrinkToFit="1"/>
      <protection hidden="1" locked="0"/>
    </xf>
    <xf numFmtId="0" fontId="9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3" borderId="29" xfId="0" applyFont="1" applyFill="1" applyBorder="1" applyAlignment="1" applyProtection="1">
      <alignment horizontal="center" vertical="center" shrinkToFit="1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vertical="center"/>
      <protection hidden="1"/>
    </xf>
    <xf numFmtId="0" fontId="1" fillId="33" borderId="35" xfId="0" applyFont="1" applyFill="1" applyBorder="1" applyAlignment="1" applyProtection="1">
      <alignment horizontal="center" vertical="center" shrinkToFit="1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5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4" fillId="34" borderId="39" xfId="0" applyFont="1" applyFill="1" applyBorder="1" applyAlignment="1" applyProtection="1">
      <alignment horizontal="center" vertical="center"/>
      <protection hidden="1"/>
    </xf>
    <xf numFmtId="0" fontId="1" fillId="33" borderId="4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6" fillId="32" borderId="42" xfId="0" applyFont="1" applyFill="1" applyBorder="1" applyAlignment="1">
      <alignment horizontal="center" wrapText="1"/>
    </xf>
    <xf numFmtId="0" fontId="16" fillId="32" borderId="47" xfId="0" applyFont="1" applyFill="1" applyBorder="1" applyAlignment="1">
      <alignment horizontal="center" wrapText="1"/>
    </xf>
    <xf numFmtId="0" fontId="16" fillId="32" borderId="48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51" xfId="0" applyFont="1" applyFill="1" applyBorder="1" applyAlignment="1">
      <alignment horizontal="left" wrapText="1"/>
    </xf>
    <xf numFmtId="0" fontId="1" fillId="33" borderId="39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left" wrapText="1"/>
    </xf>
    <xf numFmtId="0" fontId="17" fillId="32" borderId="42" xfId="0" applyFont="1" applyFill="1" applyBorder="1" applyAlignment="1">
      <alignment horizontal="center" wrapText="1"/>
    </xf>
    <xf numFmtId="0" fontId="17" fillId="32" borderId="47" xfId="0" applyFont="1" applyFill="1" applyBorder="1" applyAlignment="1">
      <alignment horizontal="center" wrapText="1"/>
    </xf>
    <xf numFmtId="0" fontId="17" fillId="32" borderId="48" xfId="0" applyFont="1" applyFill="1" applyBorder="1" applyAlignment="1">
      <alignment horizontal="center" wrapText="1"/>
    </xf>
    <xf numFmtId="0" fontId="4" fillId="34" borderId="52" xfId="0" applyFont="1" applyFill="1" applyBorder="1" applyAlignment="1" applyProtection="1">
      <alignment horizontal="center" vertical="center"/>
      <protection hidden="1"/>
    </xf>
    <xf numFmtId="0" fontId="4" fillId="34" borderId="53" xfId="0" applyFont="1" applyFill="1" applyBorder="1" applyAlignment="1" applyProtection="1">
      <alignment horizontal="center" vertical="center"/>
      <protection hidden="1"/>
    </xf>
    <xf numFmtId="0" fontId="4" fillId="34" borderId="54" xfId="0" applyFont="1" applyFill="1" applyBorder="1" applyAlignment="1" applyProtection="1">
      <alignment horizontal="center" vertical="center"/>
      <protection hidden="1"/>
    </xf>
    <xf numFmtId="0" fontId="4" fillId="32" borderId="33" xfId="0" applyFont="1" applyFill="1" applyBorder="1" applyAlignment="1" applyProtection="1">
      <alignment horizontal="center" vertical="center" shrinkToFit="1"/>
      <protection hidden="1"/>
    </xf>
    <xf numFmtId="0" fontId="4" fillId="32" borderId="15" xfId="0" applyFont="1" applyFill="1" applyBorder="1" applyAlignment="1" applyProtection="1">
      <alignment horizontal="center" vertical="center" shrinkToFit="1"/>
      <protection hidden="1"/>
    </xf>
    <xf numFmtId="0" fontId="4" fillId="32" borderId="39" xfId="0" applyFont="1" applyFill="1" applyBorder="1" applyAlignment="1" applyProtection="1">
      <alignment horizontal="center" vertical="center" shrinkToFit="1"/>
      <protection hidden="1"/>
    </xf>
    <xf numFmtId="0" fontId="4" fillId="32" borderId="20" xfId="0" applyFont="1" applyFill="1" applyBorder="1" applyAlignment="1" applyProtection="1">
      <alignment horizontal="center" vertical="center" shrinkToFit="1"/>
      <protection hidden="1"/>
    </xf>
    <xf numFmtId="0" fontId="4" fillId="32" borderId="31" xfId="0" applyFont="1" applyFill="1" applyBorder="1" applyAlignment="1" applyProtection="1">
      <alignment horizontal="center" vertical="center" shrinkToFit="1"/>
      <protection hidden="1"/>
    </xf>
    <xf numFmtId="0" fontId="4" fillId="32" borderId="10" xfId="0" applyFont="1" applyFill="1" applyBorder="1" applyAlignment="1" applyProtection="1">
      <alignment horizontal="center" vertical="center" shrinkToFit="1"/>
      <protection hidden="1"/>
    </xf>
    <xf numFmtId="0" fontId="1" fillId="33" borderId="21" xfId="0" applyFont="1" applyFill="1" applyBorder="1" applyAlignment="1" applyProtection="1">
      <alignment horizontal="right" vertical="center" shrinkToFit="1"/>
      <protection hidden="1"/>
    </xf>
    <xf numFmtId="0" fontId="1" fillId="34" borderId="35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left" vertical="center" shrinkToFit="1"/>
      <protection hidden="1" locked="0"/>
    </xf>
    <xf numFmtId="0" fontId="1" fillId="33" borderId="22" xfId="0" applyFont="1" applyFill="1" applyBorder="1" applyAlignment="1" applyProtection="1">
      <alignment horizontal="left" vertical="center" shrinkToFit="1"/>
      <protection hidden="1" locked="0"/>
    </xf>
    <xf numFmtId="0" fontId="1" fillId="33" borderId="15" xfId="0" applyFont="1" applyFill="1" applyBorder="1" applyAlignment="1" applyProtection="1">
      <alignment horizontal="right" vertical="center" shrinkToFit="1"/>
      <protection hidden="1"/>
    </xf>
    <xf numFmtId="0" fontId="1" fillId="33" borderId="15" xfId="0" applyFont="1" applyFill="1" applyBorder="1" applyAlignment="1" applyProtection="1">
      <alignment horizontal="left" vertical="center" shrinkToFit="1"/>
      <protection hidden="1"/>
    </xf>
    <xf numFmtId="0" fontId="1" fillId="33" borderId="13" xfId="0" applyFont="1" applyFill="1" applyBorder="1" applyAlignment="1" applyProtection="1">
      <alignment horizontal="left" vertical="center" shrinkToFit="1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left" vertical="center" shrinkToFit="1"/>
      <protection hidden="1"/>
    </xf>
    <xf numFmtId="0" fontId="1" fillId="33" borderId="17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center"/>
      <protection hidden="1"/>
    </xf>
    <xf numFmtId="49" fontId="1" fillId="33" borderId="19" xfId="0" applyNumberFormat="1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center" vertical="center"/>
      <protection hidden="1"/>
    </xf>
    <xf numFmtId="49" fontId="1" fillId="33" borderId="14" xfId="0" applyNumberFormat="1" applyFont="1" applyFill="1" applyBorder="1" applyAlignment="1" applyProtection="1">
      <alignment horizontal="center" vertical="center"/>
      <protection hidden="1"/>
    </xf>
    <xf numFmtId="49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left" vertical="center" shrinkToFit="1"/>
      <protection hidden="1" locked="0"/>
    </xf>
    <xf numFmtId="0" fontId="1" fillId="33" borderId="16" xfId="0" applyFont="1" applyFill="1" applyBorder="1" applyAlignment="1" applyProtection="1">
      <alignment horizontal="left" vertical="center" shrinkToFit="1"/>
      <protection hidden="1" locked="0"/>
    </xf>
    <xf numFmtId="0" fontId="1" fillId="33" borderId="13" xfId="0" applyFont="1" applyFill="1" applyBorder="1" applyAlignment="1" applyProtection="1">
      <alignment horizontal="right" vertical="center" shrinkToFit="1"/>
      <protection hidden="1"/>
    </xf>
    <xf numFmtId="0" fontId="1" fillId="33" borderId="12" xfId="0" applyFont="1" applyFill="1" applyBorder="1" applyAlignment="1" applyProtection="1">
      <alignment horizontal="right" vertical="center" shrinkToFit="1"/>
      <protection hidden="1"/>
    </xf>
    <xf numFmtId="0" fontId="1" fillId="33" borderId="14" xfId="0" applyFont="1" applyFill="1" applyBorder="1" applyAlignment="1" applyProtection="1">
      <alignment horizontal="right" vertical="center" shrinkToFit="1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4" fillId="32" borderId="11" xfId="0" applyFont="1" applyFill="1" applyBorder="1" applyAlignment="1" applyProtection="1">
      <alignment horizontal="center" vertical="center"/>
      <protection hidden="1"/>
    </xf>
    <xf numFmtId="0" fontId="4" fillId="32" borderId="42" xfId="0" applyFont="1" applyFill="1" applyBorder="1" applyAlignment="1" applyProtection="1">
      <alignment horizontal="center" vertical="center"/>
      <protection hidden="1"/>
    </xf>
    <xf numFmtId="0" fontId="4" fillId="32" borderId="47" xfId="0" applyFont="1" applyFill="1" applyBorder="1" applyAlignment="1" applyProtection="1">
      <alignment horizontal="center" vertical="center"/>
      <protection hidden="1"/>
    </xf>
    <xf numFmtId="0" fontId="4" fillId="32" borderId="48" xfId="0" applyFont="1" applyFill="1" applyBorder="1" applyAlignment="1" applyProtection="1">
      <alignment horizontal="center" vertical="center"/>
      <protection hidden="1"/>
    </xf>
    <xf numFmtId="0" fontId="1" fillId="33" borderId="55" xfId="0" applyFont="1" applyFill="1" applyBorder="1" applyAlignment="1" applyProtection="1">
      <alignment horizontal="left" vertical="center" shrinkToFit="1"/>
      <protection hidden="1"/>
    </xf>
    <xf numFmtId="0" fontId="1" fillId="33" borderId="25" xfId="0" applyFont="1" applyFill="1" applyBorder="1" applyAlignment="1" applyProtection="1">
      <alignment horizontal="left" vertical="center" shrinkToFit="1"/>
      <protection hidden="1"/>
    </xf>
    <xf numFmtId="0" fontId="1" fillId="33" borderId="55" xfId="0" applyFont="1" applyFill="1" applyBorder="1" applyAlignment="1" applyProtection="1">
      <alignment horizontal="right" vertical="center" shrinkToFit="1"/>
      <protection hidden="1"/>
    </xf>
    <xf numFmtId="0" fontId="1" fillId="33" borderId="32" xfId="0" applyFont="1" applyFill="1" applyBorder="1" applyAlignment="1" applyProtection="1">
      <alignment horizontal="right" vertical="center" shrinkToFit="1"/>
      <protection hidden="1"/>
    </xf>
    <xf numFmtId="0" fontId="1" fillId="34" borderId="34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left" vertical="center" shrinkToFit="1"/>
      <protection hidden="1" locked="0"/>
    </xf>
    <xf numFmtId="0" fontId="1" fillId="33" borderId="37" xfId="0" applyFont="1" applyFill="1" applyBorder="1" applyAlignment="1" applyProtection="1">
      <alignment horizontal="left" vertical="center" shrinkToFit="1"/>
      <protection hidden="1" locked="0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2" borderId="56" xfId="0" applyFont="1" applyFill="1" applyBorder="1" applyAlignment="1" applyProtection="1">
      <alignment horizontal="center" vertical="center"/>
      <protection hidden="1"/>
    </xf>
    <xf numFmtId="0" fontId="4" fillId="32" borderId="57" xfId="0" applyFont="1" applyFill="1" applyBorder="1" applyAlignment="1" applyProtection="1">
      <alignment horizontal="center" vertical="center"/>
      <protection hidden="1"/>
    </xf>
    <xf numFmtId="49" fontId="1" fillId="33" borderId="58" xfId="0" applyNumberFormat="1" applyFont="1" applyFill="1" applyBorder="1" applyAlignment="1" applyProtection="1">
      <alignment horizontal="center" vertical="center"/>
      <protection hidden="1"/>
    </xf>
    <xf numFmtId="49" fontId="1" fillId="33" borderId="55" xfId="0" applyNumberFormat="1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left" vertical="center" shrinkToFit="1"/>
      <protection hidden="1"/>
    </xf>
    <xf numFmtId="0" fontId="1" fillId="33" borderId="30" xfId="0" applyFont="1" applyFill="1" applyBorder="1" applyAlignment="1" applyProtection="1">
      <alignment horizontal="left" vertical="center" shrinkToFit="1"/>
      <protection hidden="1"/>
    </xf>
    <xf numFmtId="49" fontId="1" fillId="33" borderId="31" xfId="0" applyNumberFormat="1" applyFont="1" applyFill="1" applyBorder="1" applyAlignment="1" applyProtection="1">
      <alignment horizontal="center" vertical="center"/>
      <protection hidden="1"/>
    </xf>
    <xf numFmtId="49" fontId="1" fillId="33" borderId="32" xfId="0" applyNumberFormat="1" applyFont="1" applyFill="1" applyBorder="1" applyAlignment="1" applyProtection="1">
      <alignment horizontal="center" vertical="center"/>
      <protection hidden="1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33" borderId="55" xfId="0" applyFont="1" applyFill="1" applyBorder="1" applyAlignment="1" applyProtection="1">
      <alignment horizontal="left" vertical="center" shrinkToFit="1"/>
      <protection hidden="1" locked="0"/>
    </xf>
    <xf numFmtId="0" fontId="1" fillId="33" borderId="59" xfId="0" applyFont="1" applyFill="1" applyBorder="1" applyAlignment="1" applyProtection="1">
      <alignment horizontal="left" vertical="center" shrinkToFit="1"/>
      <protection hidden="1" locked="0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left" vertical="center" shrinkToFit="1"/>
      <protection hidden="1"/>
    </xf>
    <xf numFmtId="0" fontId="1" fillId="33" borderId="22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4" fillId="34" borderId="30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49" fontId="1" fillId="33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 locked="0"/>
    </xf>
    <xf numFmtId="0" fontId="1" fillId="33" borderId="23" xfId="0" applyFont="1" applyFill="1" applyBorder="1" applyAlignment="1" applyProtection="1">
      <alignment horizontal="center" vertical="center"/>
      <protection hidden="1" locked="0"/>
    </xf>
    <xf numFmtId="0" fontId="1" fillId="33" borderId="15" xfId="0" applyFont="1" applyFill="1" applyBorder="1" applyAlignment="1" applyProtection="1">
      <alignment horizontal="center" vertical="center"/>
      <protection hidden="1" locked="0"/>
    </xf>
    <xf numFmtId="0" fontId="1" fillId="33" borderId="16" xfId="0" applyFont="1" applyFill="1" applyBorder="1" applyAlignment="1" applyProtection="1">
      <alignment horizontal="center" vertical="center"/>
      <protection hidden="1" locked="0"/>
    </xf>
    <xf numFmtId="0" fontId="1" fillId="33" borderId="21" xfId="0" applyFont="1" applyFill="1" applyBorder="1" applyAlignment="1" applyProtection="1">
      <alignment horizontal="center" vertical="center"/>
      <protection hidden="1" locked="0"/>
    </xf>
    <xf numFmtId="0" fontId="1" fillId="33" borderId="22" xfId="0" applyFont="1" applyFill="1" applyBorder="1" applyAlignment="1" applyProtection="1">
      <alignment horizontal="center" vertical="center"/>
      <protection hidden="1" locked="0"/>
    </xf>
    <xf numFmtId="49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left" vertical="center" shrinkToFit="1"/>
      <protection hidden="1"/>
    </xf>
    <xf numFmtId="0" fontId="1" fillId="33" borderId="14" xfId="0" applyFont="1" applyFill="1" applyBorder="1" applyAlignment="1" applyProtection="1">
      <alignment horizontal="left" vertical="center" shrinkToFit="1"/>
      <protection hidden="1"/>
    </xf>
    <xf numFmtId="0" fontId="4" fillId="34" borderId="33" xfId="0" applyFont="1" applyFill="1" applyBorder="1" applyAlignment="1" applyProtection="1">
      <alignment horizontal="center" vertical="center"/>
      <protection hidden="1"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4" fillId="32" borderId="35" xfId="0" applyFont="1" applyFill="1" applyBorder="1" applyAlignment="1" applyProtection="1">
      <alignment horizontal="center" vertical="center" shrinkToFit="1"/>
      <protection hidden="1"/>
    </xf>
    <xf numFmtId="0" fontId="4" fillId="32" borderId="21" xfId="0" applyFont="1" applyFill="1" applyBorder="1" applyAlignment="1" applyProtection="1">
      <alignment horizontal="center" vertical="center" shrinkToFit="1"/>
      <protection hidden="1"/>
    </xf>
    <xf numFmtId="0" fontId="4" fillId="34" borderId="29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left" vertical="center" shrinkToFit="1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right" vertical="center" shrinkToFit="1"/>
      <protection hidden="1"/>
    </xf>
    <xf numFmtId="0" fontId="1" fillId="33" borderId="61" xfId="0" applyFont="1" applyFill="1" applyBorder="1" applyAlignment="1" applyProtection="1">
      <alignment horizontal="right" vertical="center" shrinkToFit="1"/>
      <protection hidden="1"/>
    </xf>
    <xf numFmtId="0" fontId="1" fillId="33" borderId="61" xfId="0" applyFont="1" applyFill="1" applyBorder="1" applyAlignment="1" applyProtection="1">
      <alignment horizontal="left" vertical="center" shrinkToFit="1"/>
      <protection hidden="1"/>
    </xf>
    <xf numFmtId="49" fontId="1" fillId="33" borderId="61" xfId="0" applyNumberFormat="1" applyFont="1" applyFill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4"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strike val="0"/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strike val="0"/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auto="1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strike val="0"/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26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strike val="0"/>
        <color indexed="51"/>
      </font>
      <fill>
        <patternFill>
          <bgColor indexed="51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strike val="0"/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strike val="0"/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strike val="0"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CC00"/>
      </font>
      <fill>
        <patternFill>
          <bgColor rgb="FFFFCC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CC00"/>
      </font>
      <fill>
        <patternFill>
          <bgColor rgb="FFFFCC00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CC00"/>
      </font>
      <fill>
        <patternFill>
          <bgColor rgb="FFFFCC0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FFCC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FFCC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FF00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>
          <bgColor rgb="FFFFFF0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FFFF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85725</xdr:colOff>
      <xdr:row>2</xdr:row>
      <xdr:rowOff>152400</xdr:rowOff>
    </xdr:from>
    <xdr:to>
      <xdr:col>15</xdr:col>
      <xdr:colOff>133350</xdr:colOff>
      <xdr:row>3</xdr:row>
      <xdr:rowOff>219075</xdr:rowOff>
    </xdr:to>
    <xdr:sp>
      <xdr:nvSpPr>
        <xdr:cNvPr id="1" name="Comment 1" hidden="1"/>
        <xdr:cNvSpPr>
          <a:spLocks/>
        </xdr:cNvSpPr>
      </xdr:nvSpPr>
      <xdr:spPr>
        <a:xfrm>
          <a:off x="3733800" y="790575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18</xdr:col>
      <xdr:colOff>114300</xdr:colOff>
      <xdr:row>2</xdr:row>
      <xdr:rowOff>152400</xdr:rowOff>
    </xdr:from>
    <xdr:to>
      <xdr:col>19</xdr:col>
      <xdr:colOff>95250</xdr:colOff>
      <xdr:row>3</xdr:row>
      <xdr:rowOff>219075</xdr:rowOff>
    </xdr:to>
    <xdr:sp>
      <xdr:nvSpPr>
        <xdr:cNvPr id="2" name="Comment 2" hidden="1"/>
        <xdr:cNvSpPr>
          <a:spLocks/>
        </xdr:cNvSpPr>
      </xdr:nvSpPr>
      <xdr:spPr>
        <a:xfrm>
          <a:off x="5848350" y="790575"/>
          <a:ext cx="5905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16</xdr:col>
      <xdr:colOff>314325</xdr:colOff>
      <xdr:row>7</xdr:row>
      <xdr:rowOff>152400</xdr:rowOff>
    </xdr:from>
    <xdr:to>
      <xdr:col>18</xdr:col>
      <xdr:colOff>561975</xdr:colOff>
      <xdr:row>8</xdr:row>
      <xdr:rowOff>219075</xdr:rowOff>
    </xdr:to>
    <xdr:sp>
      <xdr:nvSpPr>
        <xdr:cNvPr id="3" name="Comment 3" hidden="1"/>
        <xdr:cNvSpPr>
          <a:spLocks/>
        </xdr:cNvSpPr>
      </xdr:nvSpPr>
      <xdr:spPr>
        <a:xfrm>
          <a:off x="5153025" y="1838325"/>
          <a:ext cx="114300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114300</xdr:colOff>
      <xdr:row>7</xdr:row>
      <xdr:rowOff>152400</xdr:rowOff>
    </xdr:from>
    <xdr:to>
      <xdr:col>20</xdr:col>
      <xdr:colOff>28575</xdr:colOff>
      <xdr:row>8</xdr:row>
      <xdr:rowOff>219075</xdr:rowOff>
    </xdr:to>
    <xdr:sp>
      <xdr:nvSpPr>
        <xdr:cNvPr id="4" name="Comment 4" hidden="1"/>
        <xdr:cNvSpPr>
          <a:spLocks/>
        </xdr:cNvSpPr>
      </xdr:nvSpPr>
      <xdr:spPr>
        <a:xfrm>
          <a:off x="5848350" y="1838325"/>
          <a:ext cx="11334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3</xdr:row>
      <xdr:rowOff>180975</xdr:rowOff>
    </xdr:from>
    <xdr:to>
      <xdr:col>12</xdr:col>
      <xdr:colOff>0</xdr:colOff>
      <xdr:row>5</xdr:row>
      <xdr:rowOff>19050</xdr:rowOff>
    </xdr:to>
    <xdr:sp>
      <xdr:nvSpPr>
        <xdr:cNvPr id="1" name="Comment 1" hidden="1"/>
        <xdr:cNvSpPr>
          <a:spLocks/>
        </xdr:cNvSpPr>
      </xdr:nvSpPr>
      <xdr:spPr>
        <a:xfrm>
          <a:off x="2724150" y="100965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19</xdr:col>
      <xdr:colOff>142875</xdr:colOff>
      <xdr:row>3</xdr:row>
      <xdr:rowOff>200025</xdr:rowOff>
    </xdr:from>
    <xdr:to>
      <xdr:col>20</xdr:col>
      <xdr:colOff>285750</xdr:colOff>
      <xdr:row>5</xdr:row>
      <xdr:rowOff>38100</xdr:rowOff>
    </xdr:to>
    <xdr:sp>
      <xdr:nvSpPr>
        <xdr:cNvPr id="2" name="Comment 2" hidden="1"/>
        <xdr:cNvSpPr>
          <a:spLocks/>
        </xdr:cNvSpPr>
      </xdr:nvSpPr>
      <xdr:spPr>
        <a:xfrm>
          <a:off x="5991225" y="1028700"/>
          <a:ext cx="5905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17</xdr:col>
      <xdr:colOff>28575</xdr:colOff>
      <xdr:row>9</xdr:row>
      <xdr:rowOff>66675</xdr:rowOff>
    </xdr:from>
    <xdr:to>
      <xdr:col>20</xdr:col>
      <xdr:colOff>295275</xdr:colOff>
      <xdr:row>10</xdr:row>
      <xdr:rowOff>142875</xdr:rowOff>
    </xdr:to>
    <xdr:sp>
      <xdr:nvSpPr>
        <xdr:cNvPr id="3" name="Comment 3" hidden="1"/>
        <xdr:cNvSpPr>
          <a:spLocks/>
        </xdr:cNvSpPr>
      </xdr:nvSpPr>
      <xdr:spPr>
        <a:xfrm>
          <a:off x="5448300" y="2324100"/>
          <a:ext cx="1143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85725</xdr:colOff>
      <xdr:row>9</xdr:row>
      <xdr:rowOff>66675</xdr:rowOff>
    </xdr:from>
    <xdr:to>
      <xdr:col>34</xdr:col>
      <xdr:colOff>9525</xdr:colOff>
      <xdr:row>10</xdr:row>
      <xdr:rowOff>142875</xdr:rowOff>
    </xdr:to>
    <xdr:sp>
      <xdr:nvSpPr>
        <xdr:cNvPr id="4" name="Comment 4" hidden="1"/>
        <xdr:cNvSpPr>
          <a:spLocks/>
        </xdr:cNvSpPr>
      </xdr:nvSpPr>
      <xdr:spPr>
        <a:xfrm>
          <a:off x="5619750" y="2324100"/>
          <a:ext cx="11334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37</xdr:col>
      <xdr:colOff>247650</xdr:colOff>
      <xdr:row>21</xdr:row>
      <xdr:rowOff>200025</xdr:rowOff>
    </xdr:from>
    <xdr:to>
      <xdr:col>38</xdr:col>
      <xdr:colOff>114300</xdr:colOff>
      <xdr:row>22</xdr:row>
      <xdr:rowOff>142875</xdr:rowOff>
    </xdr:to>
    <xdr:sp>
      <xdr:nvSpPr>
        <xdr:cNvPr id="5" name="Comment 5" hidden="1"/>
        <xdr:cNvSpPr>
          <a:spLocks/>
        </xdr:cNvSpPr>
      </xdr:nvSpPr>
      <xdr:spPr>
        <a:xfrm>
          <a:off x="8820150" y="5772150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37</xdr:col>
      <xdr:colOff>219075</xdr:colOff>
      <xdr:row>22</xdr:row>
      <xdr:rowOff>0</xdr:rowOff>
    </xdr:from>
    <xdr:to>
      <xdr:col>38</xdr:col>
      <xdr:colOff>342900</xdr:colOff>
      <xdr:row>40</xdr:row>
      <xdr:rowOff>114300</xdr:rowOff>
    </xdr:to>
    <xdr:sp>
      <xdr:nvSpPr>
        <xdr:cNvPr id="6" name="Comment 6" hidden="1"/>
        <xdr:cNvSpPr>
          <a:spLocks/>
        </xdr:cNvSpPr>
      </xdr:nvSpPr>
      <xdr:spPr>
        <a:xfrm>
          <a:off x="8791575" y="5953125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1. párového</a:t>
          </a:r>
        </a:p>
      </xdr:txBody>
    </xdr:sp>
    <xdr:clientData/>
  </xdr:twoCellAnchor>
  <xdr:twoCellAnchor editAs="absolute">
    <xdr:from>
      <xdr:col>37</xdr:col>
      <xdr:colOff>228600</xdr:colOff>
      <xdr:row>40</xdr:row>
      <xdr:rowOff>161925</xdr:rowOff>
    </xdr:from>
    <xdr:to>
      <xdr:col>38</xdr:col>
      <xdr:colOff>352425</xdr:colOff>
      <xdr:row>42</xdr:row>
      <xdr:rowOff>0</xdr:rowOff>
    </xdr:to>
    <xdr:sp>
      <xdr:nvSpPr>
        <xdr:cNvPr id="7" name="Comment 7" hidden="1"/>
        <xdr:cNvSpPr>
          <a:spLocks/>
        </xdr:cNvSpPr>
      </xdr:nvSpPr>
      <xdr:spPr>
        <a:xfrm>
          <a:off x="8801100" y="6324600"/>
          <a:ext cx="7334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2. párového</a:t>
          </a:r>
        </a:p>
      </xdr:txBody>
    </xdr:sp>
    <xdr:clientData/>
  </xdr:twoCellAnchor>
  <xdr:twoCellAnchor editAs="absolute">
    <xdr:from>
      <xdr:col>37</xdr:col>
      <xdr:colOff>228600</xdr:colOff>
      <xdr:row>41</xdr:row>
      <xdr:rowOff>123825</xdr:rowOff>
    </xdr:from>
    <xdr:to>
      <xdr:col>38</xdr:col>
      <xdr:colOff>152400</xdr:colOff>
      <xdr:row>42</xdr:row>
      <xdr:rowOff>190500</xdr:rowOff>
    </xdr:to>
    <xdr:sp>
      <xdr:nvSpPr>
        <xdr:cNvPr id="8" name="Comment 8" hidden="1"/>
        <xdr:cNvSpPr>
          <a:spLocks/>
        </xdr:cNvSpPr>
      </xdr:nvSpPr>
      <xdr:spPr>
        <a:xfrm>
          <a:off x="8801100" y="6534150"/>
          <a:ext cx="53340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(utkání)</a:t>
          </a:r>
        </a:p>
      </xdr:txBody>
    </xdr:sp>
    <xdr:clientData/>
  </xdr:twoCellAnchor>
  <xdr:twoCellAnchor editAs="absolute">
    <xdr:from>
      <xdr:col>37</xdr:col>
      <xdr:colOff>228600</xdr:colOff>
      <xdr:row>42</xdr:row>
      <xdr:rowOff>76200</xdr:rowOff>
    </xdr:from>
    <xdr:to>
      <xdr:col>38</xdr:col>
      <xdr:colOff>57150</xdr:colOff>
      <xdr:row>43</xdr:row>
      <xdr:rowOff>152400</xdr:rowOff>
    </xdr:to>
    <xdr:sp>
      <xdr:nvSpPr>
        <xdr:cNvPr id="9" name="Comment 9" hidden="1"/>
        <xdr:cNvSpPr>
          <a:spLocks/>
        </xdr:cNvSpPr>
      </xdr:nvSpPr>
      <xdr:spPr>
        <a:xfrm>
          <a:off x="8801100" y="6734175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
utkání</a:t>
          </a:r>
        </a:p>
      </xdr:txBody>
    </xdr:sp>
    <xdr:clientData/>
  </xdr:twoCellAnchor>
  <xdr:twoCellAnchor editAs="absolute">
    <xdr:from>
      <xdr:col>37</xdr:col>
      <xdr:colOff>228600</xdr:colOff>
      <xdr:row>43</xdr:row>
      <xdr:rowOff>28575</xdr:rowOff>
    </xdr:from>
    <xdr:to>
      <xdr:col>38</xdr:col>
      <xdr:colOff>600075</xdr:colOff>
      <xdr:row>44</xdr:row>
      <xdr:rowOff>104775</xdr:rowOff>
    </xdr:to>
    <xdr:sp>
      <xdr:nvSpPr>
        <xdr:cNvPr id="10" name="Comment 10" hidden="1"/>
        <xdr:cNvSpPr>
          <a:spLocks/>
        </xdr:cNvSpPr>
      </xdr:nvSpPr>
      <xdr:spPr>
        <a:xfrm>
          <a:off x="8801100" y="69342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</a:t>
          </a:r>
        </a:p>
      </xdr:txBody>
    </xdr:sp>
    <xdr:clientData/>
  </xdr:twoCellAnchor>
  <xdr:twoCellAnchor editAs="absolute">
    <xdr:from>
      <xdr:col>38</xdr:col>
      <xdr:colOff>0</xdr:colOff>
      <xdr:row>21</xdr:row>
      <xdr:rowOff>219075</xdr:rowOff>
    </xdr:from>
    <xdr:to>
      <xdr:col>39</xdr:col>
      <xdr:colOff>371475</xdr:colOff>
      <xdr:row>22</xdr:row>
      <xdr:rowOff>161925</xdr:rowOff>
    </xdr:to>
    <xdr:sp>
      <xdr:nvSpPr>
        <xdr:cNvPr id="11" name="Comment 11" hidden="1"/>
        <xdr:cNvSpPr>
          <a:spLocks/>
        </xdr:cNvSpPr>
      </xdr:nvSpPr>
      <xdr:spPr>
        <a:xfrm>
          <a:off x="9182100" y="57912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37</xdr:col>
      <xdr:colOff>561975</xdr:colOff>
      <xdr:row>22</xdr:row>
      <xdr:rowOff>0</xdr:rowOff>
    </xdr:from>
    <xdr:to>
      <xdr:col>39</xdr:col>
      <xdr:colOff>323850</xdr:colOff>
      <xdr:row>40</xdr:row>
      <xdr:rowOff>114300</xdr:rowOff>
    </xdr:to>
    <xdr:sp>
      <xdr:nvSpPr>
        <xdr:cNvPr id="12" name="Comment 12" hidden="1"/>
        <xdr:cNvSpPr>
          <a:spLocks/>
        </xdr:cNvSpPr>
      </xdr:nvSpPr>
      <xdr:spPr>
        <a:xfrm>
          <a:off x="9134475" y="59531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38</xdr:col>
      <xdr:colOff>200025</xdr:colOff>
      <xdr:row>21</xdr:row>
      <xdr:rowOff>219075</xdr:rowOff>
    </xdr:from>
    <xdr:to>
      <xdr:col>39</xdr:col>
      <xdr:colOff>571500</xdr:colOff>
      <xdr:row>22</xdr:row>
      <xdr:rowOff>161925</xdr:rowOff>
    </xdr:to>
    <xdr:sp>
      <xdr:nvSpPr>
        <xdr:cNvPr id="13" name="Comment 13" hidden="1"/>
        <xdr:cNvSpPr>
          <a:spLocks/>
        </xdr:cNvSpPr>
      </xdr:nvSpPr>
      <xdr:spPr>
        <a:xfrm>
          <a:off x="9382125" y="57912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38</xdr:col>
      <xdr:colOff>152400</xdr:colOff>
      <xdr:row>22</xdr:row>
      <xdr:rowOff>0</xdr:rowOff>
    </xdr:from>
    <xdr:to>
      <xdr:col>39</xdr:col>
      <xdr:colOff>523875</xdr:colOff>
      <xdr:row>40</xdr:row>
      <xdr:rowOff>114300</xdr:rowOff>
    </xdr:to>
    <xdr:sp>
      <xdr:nvSpPr>
        <xdr:cNvPr id="14" name="Comment 14" hidden="1"/>
        <xdr:cNvSpPr>
          <a:spLocks/>
        </xdr:cNvSpPr>
      </xdr:nvSpPr>
      <xdr:spPr>
        <a:xfrm>
          <a:off x="9334500" y="59531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37</xdr:col>
      <xdr:colOff>590550</xdr:colOff>
      <xdr:row>40</xdr:row>
      <xdr:rowOff>161925</xdr:rowOff>
    </xdr:from>
    <xdr:to>
      <xdr:col>40</xdr:col>
      <xdr:colOff>180975</xdr:colOff>
      <xdr:row>42</xdr:row>
      <xdr:rowOff>0</xdr:rowOff>
    </xdr:to>
    <xdr:sp>
      <xdr:nvSpPr>
        <xdr:cNvPr id="15" name="Comment 15" hidden="1"/>
        <xdr:cNvSpPr>
          <a:spLocks/>
        </xdr:cNvSpPr>
      </xdr:nvSpPr>
      <xdr:spPr>
        <a:xfrm>
          <a:off x="9163050" y="6324600"/>
          <a:ext cx="14192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37</xdr:col>
      <xdr:colOff>590550</xdr:colOff>
      <xdr:row>41</xdr:row>
      <xdr:rowOff>123825</xdr:rowOff>
    </xdr:from>
    <xdr:to>
      <xdr:col>40</xdr:col>
      <xdr:colOff>180975</xdr:colOff>
      <xdr:row>42</xdr:row>
      <xdr:rowOff>190500</xdr:rowOff>
    </xdr:to>
    <xdr:sp>
      <xdr:nvSpPr>
        <xdr:cNvPr id="16" name="Comment 16" hidden="1"/>
        <xdr:cNvSpPr>
          <a:spLocks/>
        </xdr:cNvSpPr>
      </xdr:nvSpPr>
      <xdr:spPr>
        <a:xfrm>
          <a:off x="9163050" y="6534150"/>
          <a:ext cx="14192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vyššího párového pořadí</a:t>
          </a:r>
        </a:p>
      </xdr:txBody>
    </xdr:sp>
    <xdr:clientData/>
  </xdr:twoCellAnchor>
  <xdr:twoCellAnchor editAs="absolute">
    <xdr:from>
      <xdr:col>37</xdr:col>
      <xdr:colOff>590550</xdr:colOff>
      <xdr:row>42</xdr:row>
      <xdr:rowOff>76200</xdr:rowOff>
    </xdr:from>
    <xdr:to>
      <xdr:col>40</xdr:col>
      <xdr:colOff>200025</xdr:colOff>
      <xdr:row>44</xdr:row>
      <xdr:rowOff>57150</xdr:rowOff>
    </xdr:to>
    <xdr:sp>
      <xdr:nvSpPr>
        <xdr:cNvPr id="17" name="Comment 17" hidden="1"/>
        <xdr:cNvSpPr>
          <a:spLocks/>
        </xdr:cNvSpPr>
      </xdr:nvSpPr>
      <xdr:spPr>
        <a:xfrm>
          <a:off x="9163050" y="6734175"/>
          <a:ext cx="14382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38</xdr:col>
      <xdr:colOff>161925</xdr:colOff>
      <xdr:row>40</xdr:row>
      <xdr:rowOff>161925</xdr:rowOff>
    </xdr:from>
    <xdr:to>
      <xdr:col>40</xdr:col>
      <xdr:colOff>361950</xdr:colOff>
      <xdr:row>42</xdr:row>
      <xdr:rowOff>0</xdr:rowOff>
    </xdr:to>
    <xdr:sp>
      <xdr:nvSpPr>
        <xdr:cNvPr id="18" name="Comment 18" hidden="1"/>
        <xdr:cNvSpPr>
          <a:spLocks/>
        </xdr:cNvSpPr>
      </xdr:nvSpPr>
      <xdr:spPr>
        <a:xfrm>
          <a:off x="9344025" y="6324600"/>
          <a:ext cx="14192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38</xdr:col>
      <xdr:colOff>161925</xdr:colOff>
      <xdr:row>41</xdr:row>
      <xdr:rowOff>123825</xdr:rowOff>
    </xdr:from>
    <xdr:to>
      <xdr:col>40</xdr:col>
      <xdr:colOff>323850</xdr:colOff>
      <xdr:row>42</xdr:row>
      <xdr:rowOff>190500</xdr:rowOff>
    </xdr:to>
    <xdr:sp>
      <xdr:nvSpPr>
        <xdr:cNvPr id="19" name="Comment 19" hidden="1"/>
        <xdr:cNvSpPr>
          <a:spLocks/>
        </xdr:cNvSpPr>
      </xdr:nvSpPr>
      <xdr:spPr>
        <a:xfrm>
          <a:off x="9344025" y="6534150"/>
          <a:ext cx="13811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nižšího párového pořadí</a:t>
          </a:r>
        </a:p>
      </xdr:txBody>
    </xdr:sp>
    <xdr:clientData/>
  </xdr:twoCellAnchor>
  <xdr:twoCellAnchor editAs="absolute">
    <xdr:from>
      <xdr:col>38</xdr:col>
      <xdr:colOff>161925</xdr:colOff>
      <xdr:row>42</xdr:row>
      <xdr:rowOff>76200</xdr:rowOff>
    </xdr:from>
    <xdr:to>
      <xdr:col>40</xdr:col>
      <xdr:colOff>342900</xdr:colOff>
      <xdr:row>44</xdr:row>
      <xdr:rowOff>57150</xdr:rowOff>
    </xdr:to>
    <xdr:sp>
      <xdr:nvSpPr>
        <xdr:cNvPr id="20" name="Comment 20" hidden="1"/>
        <xdr:cNvSpPr>
          <a:spLocks/>
        </xdr:cNvSpPr>
      </xdr:nvSpPr>
      <xdr:spPr>
        <a:xfrm>
          <a:off x="9344025" y="6734175"/>
          <a:ext cx="14001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nižšího párového pořadí</a:t>
          </a:r>
        </a:p>
      </xdr:txBody>
    </xdr:sp>
    <xdr:clientData/>
  </xdr:twoCellAnchor>
  <xdr:twoCellAnchor editAs="absolute">
    <xdr:from>
      <xdr:col>38</xdr:col>
      <xdr:colOff>314325</xdr:colOff>
      <xdr:row>21</xdr:row>
      <xdr:rowOff>180975</xdr:rowOff>
    </xdr:from>
    <xdr:to>
      <xdr:col>39</xdr:col>
      <xdr:colOff>142875</xdr:colOff>
      <xdr:row>22</xdr:row>
      <xdr:rowOff>123825</xdr:rowOff>
    </xdr:to>
    <xdr:sp>
      <xdr:nvSpPr>
        <xdr:cNvPr id="21" name="Comment 21" hidden="1"/>
        <xdr:cNvSpPr>
          <a:spLocks/>
        </xdr:cNvSpPr>
      </xdr:nvSpPr>
      <xdr:spPr>
        <a:xfrm>
          <a:off x="9496425" y="5753100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38</xdr:col>
      <xdr:colOff>333375</xdr:colOff>
      <xdr:row>22</xdr:row>
      <xdr:rowOff>0</xdr:rowOff>
    </xdr:from>
    <xdr:to>
      <xdr:col>40</xdr:col>
      <xdr:colOff>57150</xdr:colOff>
      <xdr:row>40</xdr:row>
      <xdr:rowOff>114300</xdr:rowOff>
    </xdr:to>
    <xdr:sp>
      <xdr:nvSpPr>
        <xdr:cNvPr id="22" name="Comment 22" hidden="1"/>
        <xdr:cNvSpPr>
          <a:spLocks/>
        </xdr:cNvSpPr>
      </xdr:nvSpPr>
      <xdr:spPr>
        <a:xfrm>
          <a:off x="9515475" y="595312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38</xdr:col>
      <xdr:colOff>342900</xdr:colOff>
      <xdr:row>40</xdr:row>
      <xdr:rowOff>161925</xdr:rowOff>
    </xdr:from>
    <xdr:to>
      <xdr:col>40</xdr:col>
      <xdr:colOff>66675</xdr:colOff>
      <xdr:row>42</xdr:row>
      <xdr:rowOff>0</xdr:rowOff>
    </xdr:to>
    <xdr:sp>
      <xdr:nvSpPr>
        <xdr:cNvPr id="23" name="Comment 23" hidden="1"/>
        <xdr:cNvSpPr>
          <a:spLocks/>
        </xdr:cNvSpPr>
      </xdr:nvSpPr>
      <xdr:spPr>
        <a:xfrm>
          <a:off x="9525000" y="6324600"/>
          <a:ext cx="9429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38</xdr:col>
      <xdr:colOff>342900</xdr:colOff>
      <xdr:row>41</xdr:row>
      <xdr:rowOff>123825</xdr:rowOff>
    </xdr:from>
    <xdr:to>
      <xdr:col>40</xdr:col>
      <xdr:colOff>66675</xdr:colOff>
      <xdr:row>42</xdr:row>
      <xdr:rowOff>190500</xdr:rowOff>
    </xdr:to>
    <xdr:sp>
      <xdr:nvSpPr>
        <xdr:cNvPr id="24" name="Comment 24" hidden="1"/>
        <xdr:cNvSpPr>
          <a:spLocks/>
        </xdr:cNvSpPr>
      </xdr:nvSpPr>
      <xdr:spPr>
        <a:xfrm>
          <a:off x="9525000" y="6534150"/>
          <a:ext cx="9429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38</xdr:col>
      <xdr:colOff>342900</xdr:colOff>
      <xdr:row>42</xdr:row>
      <xdr:rowOff>76200</xdr:rowOff>
    </xdr:from>
    <xdr:to>
      <xdr:col>39</xdr:col>
      <xdr:colOff>552450</xdr:colOff>
      <xdr:row>43</xdr:row>
      <xdr:rowOff>152400</xdr:rowOff>
    </xdr:to>
    <xdr:sp>
      <xdr:nvSpPr>
        <xdr:cNvPr id="25" name="Comment 25" hidden="1"/>
        <xdr:cNvSpPr>
          <a:spLocks/>
        </xdr:cNvSpPr>
      </xdr:nvSpPr>
      <xdr:spPr>
        <a:xfrm>
          <a:off x="9525000" y="6734175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42</xdr:row>
      <xdr:rowOff>76200</xdr:rowOff>
    </xdr:from>
    <xdr:to>
      <xdr:col>40</xdr:col>
      <xdr:colOff>133350</xdr:colOff>
      <xdr:row>43</xdr:row>
      <xdr:rowOff>152400</xdr:rowOff>
    </xdr:to>
    <xdr:sp>
      <xdr:nvSpPr>
        <xdr:cNvPr id="26" name="Comment 26" hidden="1"/>
        <xdr:cNvSpPr>
          <a:spLocks/>
        </xdr:cNvSpPr>
      </xdr:nvSpPr>
      <xdr:spPr>
        <a:xfrm>
          <a:off x="9705975" y="6734175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1. utkání
z minitabulky</a:t>
          </a:r>
        </a:p>
      </xdr:txBody>
    </xdr:sp>
    <xdr:clientData/>
  </xdr:twoCellAnchor>
  <xdr:twoCellAnchor editAs="absolute">
    <xdr:from>
      <xdr:col>38</xdr:col>
      <xdr:colOff>342900</xdr:colOff>
      <xdr:row>43</xdr:row>
      <xdr:rowOff>28575</xdr:rowOff>
    </xdr:from>
    <xdr:to>
      <xdr:col>39</xdr:col>
      <xdr:colOff>552450</xdr:colOff>
      <xdr:row>44</xdr:row>
      <xdr:rowOff>104775</xdr:rowOff>
    </xdr:to>
    <xdr:sp>
      <xdr:nvSpPr>
        <xdr:cNvPr id="27" name="Comment 27" hidden="1"/>
        <xdr:cNvSpPr>
          <a:spLocks/>
        </xdr:cNvSpPr>
      </xdr:nvSpPr>
      <xdr:spPr>
        <a:xfrm>
          <a:off x="9525000" y="693420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43</xdr:row>
      <xdr:rowOff>28575</xdr:rowOff>
    </xdr:from>
    <xdr:to>
      <xdr:col>40</xdr:col>
      <xdr:colOff>133350</xdr:colOff>
      <xdr:row>44</xdr:row>
      <xdr:rowOff>104775</xdr:rowOff>
    </xdr:to>
    <xdr:sp>
      <xdr:nvSpPr>
        <xdr:cNvPr id="28" name="Comment 28" hidden="1"/>
        <xdr:cNvSpPr>
          <a:spLocks/>
        </xdr:cNvSpPr>
      </xdr:nvSpPr>
      <xdr:spPr>
        <a:xfrm>
          <a:off x="9705975" y="693420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2. utkání
z minitabulky</a:t>
          </a:r>
        </a:p>
      </xdr:txBody>
    </xdr:sp>
    <xdr:clientData/>
  </xdr:twoCellAnchor>
  <xdr:twoCellAnchor editAs="absolute">
    <xdr:from>
      <xdr:col>38</xdr:col>
      <xdr:colOff>342900</xdr:colOff>
      <xdr:row>43</xdr:row>
      <xdr:rowOff>219075</xdr:rowOff>
    </xdr:from>
    <xdr:to>
      <xdr:col>39</xdr:col>
      <xdr:colOff>552450</xdr:colOff>
      <xdr:row>45</xdr:row>
      <xdr:rowOff>57150</xdr:rowOff>
    </xdr:to>
    <xdr:sp>
      <xdr:nvSpPr>
        <xdr:cNvPr id="29" name="Comment 29" hidden="1"/>
        <xdr:cNvSpPr>
          <a:spLocks/>
        </xdr:cNvSpPr>
      </xdr:nvSpPr>
      <xdr:spPr>
        <a:xfrm>
          <a:off x="9525000" y="7124700"/>
          <a:ext cx="8191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43</xdr:row>
      <xdr:rowOff>219075</xdr:rowOff>
    </xdr:from>
    <xdr:to>
      <xdr:col>40</xdr:col>
      <xdr:colOff>133350</xdr:colOff>
      <xdr:row>45</xdr:row>
      <xdr:rowOff>57150</xdr:rowOff>
    </xdr:to>
    <xdr:sp>
      <xdr:nvSpPr>
        <xdr:cNvPr id="30" name="Comment 30" hidden="1"/>
        <xdr:cNvSpPr>
          <a:spLocks/>
        </xdr:cNvSpPr>
      </xdr:nvSpPr>
      <xdr:spPr>
        <a:xfrm>
          <a:off x="9705975" y="7124700"/>
          <a:ext cx="8286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3. utkání
z minitabulky</a:t>
          </a:r>
        </a:p>
      </xdr:txBody>
    </xdr:sp>
    <xdr:clientData/>
  </xdr:twoCellAnchor>
  <xdr:twoCellAnchor editAs="absolute">
    <xdr:from>
      <xdr:col>13</xdr:col>
      <xdr:colOff>142875</xdr:colOff>
      <xdr:row>3</xdr:row>
      <xdr:rowOff>200025</xdr:rowOff>
    </xdr:from>
    <xdr:to>
      <xdr:col>16</xdr:col>
      <xdr:colOff>57150</xdr:colOff>
      <xdr:row>5</xdr:row>
      <xdr:rowOff>38100</xdr:rowOff>
    </xdr:to>
    <xdr:sp>
      <xdr:nvSpPr>
        <xdr:cNvPr id="31" name="Comment 58" hidden="1"/>
        <xdr:cNvSpPr>
          <a:spLocks/>
        </xdr:cNvSpPr>
      </xdr:nvSpPr>
      <xdr:spPr>
        <a:xfrm>
          <a:off x="4238625" y="102870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15</xdr:col>
      <xdr:colOff>28575</xdr:colOff>
      <xdr:row>69</xdr:row>
      <xdr:rowOff>47625</xdr:rowOff>
    </xdr:from>
    <xdr:to>
      <xdr:col>18</xdr:col>
      <xdr:colOff>295275</xdr:colOff>
      <xdr:row>71</xdr:row>
      <xdr:rowOff>66675</xdr:rowOff>
    </xdr:to>
    <xdr:sp>
      <xdr:nvSpPr>
        <xdr:cNvPr id="32" name="Comment 61" hidden="1"/>
        <xdr:cNvSpPr>
          <a:spLocks/>
        </xdr:cNvSpPr>
      </xdr:nvSpPr>
      <xdr:spPr>
        <a:xfrm>
          <a:off x="4686300" y="11106150"/>
          <a:ext cx="1143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16</xdr:col>
      <xdr:colOff>142875</xdr:colOff>
      <xdr:row>69</xdr:row>
      <xdr:rowOff>47625</xdr:rowOff>
    </xdr:from>
    <xdr:to>
      <xdr:col>20</xdr:col>
      <xdr:colOff>85725</xdr:colOff>
      <xdr:row>71</xdr:row>
      <xdr:rowOff>66675</xdr:rowOff>
    </xdr:to>
    <xdr:sp>
      <xdr:nvSpPr>
        <xdr:cNvPr id="33" name="Comment 62" hidden="1"/>
        <xdr:cNvSpPr>
          <a:spLocks/>
        </xdr:cNvSpPr>
      </xdr:nvSpPr>
      <xdr:spPr>
        <a:xfrm>
          <a:off x="5248275" y="11106150"/>
          <a:ext cx="11334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35</xdr:col>
      <xdr:colOff>266700</xdr:colOff>
      <xdr:row>86</xdr:row>
      <xdr:rowOff>95250</xdr:rowOff>
    </xdr:from>
    <xdr:to>
      <xdr:col>36</xdr:col>
      <xdr:colOff>133350</xdr:colOff>
      <xdr:row>88</xdr:row>
      <xdr:rowOff>28575</xdr:rowOff>
    </xdr:to>
    <xdr:sp>
      <xdr:nvSpPr>
        <xdr:cNvPr id="34" name="Comment 63" hidden="1"/>
        <xdr:cNvSpPr>
          <a:spLocks/>
        </xdr:cNvSpPr>
      </xdr:nvSpPr>
      <xdr:spPr>
        <a:xfrm>
          <a:off x="7620000" y="14658975"/>
          <a:ext cx="476250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36</xdr:col>
      <xdr:colOff>19050</xdr:colOff>
      <xdr:row>86</xdr:row>
      <xdr:rowOff>95250</xdr:rowOff>
    </xdr:from>
    <xdr:to>
      <xdr:col>37</xdr:col>
      <xdr:colOff>390525</xdr:colOff>
      <xdr:row>88</xdr:row>
      <xdr:rowOff>28575</xdr:rowOff>
    </xdr:to>
    <xdr:sp>
      <xdr:nvSpPr>
        <xdr:cNvPr id="35" name="Comment 64" hidden="1"/>
        <xdr:cNvSpPr>
          <a:spLocks/>
        </xdr:cNvSpPr>
      </xdr:nvSpPr>
      <xdr:spPr>
        <a:xfrm>
          <a:off x="7981950" y="14658975"/>
          <a:ext cx="981075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36</xdr:col>
      <xdr:colOff>200025</xdr:colOff>
      <xdr:row>86</xdr:row>
      <xdr:rowOff>95250</xdr:rowOff>
    </xdr:from>
    <xdr:to>
      <xdr:col>37</xdr:col>
      <xdr:colOff>571500</xdr:colOff>
      <xdr:row>88</xdr:row>
      <xdr:rowOff>28575</xdr:rowOff>
    </xdr:to>
    <xdr:sp>
      <xdr:nvSpPr>
        <xdr:cNvPr id="36" name="Comment 65" hidden="1"/>
        <xdr:cNvSpPr>
          <a:spLocks/>
        </xdr:cNvSpPr>
      </xdr:nvSpPr>
      <xdr:spPr>
        <a:xfrm>
          <a:off x="8162925" y="14658975"/>
          <a:ext cx="981075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36</xdr:col>
      <xdr:colOff>371475</xdr:colOff>
      <xdr:row>86</xdr:row>
      <xdr:rowOff>85725</xdr:rowOff>
    </xdr:from>
    <xdr:to>
      <xdr:col>37</xdr:col>
      <xdr:colOff>200025</xdr:colOff>
      <xdr:row>88</xdr:row>
      <xdr:rowOff>19050</xdr:rowOff>
    </xdr:to>
    <xdr:sp>
      <xdr:nvSpPr>
        <xdr:cNvPr id="37" name="Comment 66" hidden="1"/>
        <xdr:cNvSpPr>
          <a:spLocks/>
        </xdr:cNvSpPr>
      </xdr:nvSpPr>
      <xdr:spPr>
        <a:xfrm>
          <a:off x="8334375" y="14649450"/>
          <a:ext cx="438150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35</xdr:col>
      <xdr:colOff>266700</xdr:colOff>
      <xdr:row>87</xdr:row>
      <xdr:rowOff>104775</xdr:rowOff>
    </xdr:from>
    <xdr:to>
      <xdr:col>36</xdr:col>
      <xdr:colOff>390525</xdr:colOff>
      <xdr:row>89</xdr:row>
      <xdr:rowOff>19050</xdr:rowOff>
    </xdr:to>
    <xdr:sp>
      <xdr:nvSpPr>
        <xdr:cNvPr id="38" name="Comment 67" hidden="1"/>
        <xdr:cNvSpPr>
          <a:spLocks/>
        </xdr:cNvSpPr>
      </xdr:nvSpPr>
      <xdr:spPr>
        <a:xfrm>
          <a:off x="7620000" y="14830425"/>
          <a:ext cx="73342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1. párového</a:t>
          </a:r>
        </a:p>
      </xdr:txBody>
    </xdr:sp>
    <xdr:clientData/>
  </xdr:twoCellAnchor>
  <xdr:twoCellAnchor editAs="absolute">
    <xdr:from>
      <xdr:col>36</xdr:col>
      <xdr:colOff>19050</xdr:colOff>
      <xdr:row>87</xdr:row>
      <xdr:rowOff>104775</xdr:rowOff>
    </xdr:from>
    <xdr:to>
      <xdr:col>37</xdr:col>
      <xdr:colOff>390525</xdr:colOff>
      <xdr:row>89</xdr:row>
      <xdr:rowOff>19050</xdr:rowOff>
    </xdr:to>
    <xdr:sp>
      <xdr:nvSpPr>
        <xdr:cNvPr id="39" name="Comment 68" hidden="1"/>
        <xdr:cNvSpPr>
          <a:spLocks/>
        </xdr:cNvSpPr>
      </xdr:nvSpPr>
      <xdr:spPr>
        <a:xfrm>
          <a:off x="7981950" y="14830425"/>
          <a:ext cx="9810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36</xdr:col>
      <xdr:colOff>200025</xdr:colOff>
      <xdr:row>87</xdr:row>
      <xdr:rowOff>104775</xdr:rowOff>
    </xdr:from>
    <xdr:to>
      <xdr:col>37</xdr:col>
      <xdr:colOff>571500</xdr:colOff>
      <xdr:row>89</xdr:row>
      <xdr:rowOff>19050</xdr:rowOff>
    </xdr:to>
    <xdr:sp>
      <xdr:nvSpPr>
        <xdr:cNvPr id="40" name="Comment 69" hidden="1"/>
        <xdr:cNvSpPr>
          <a:spLocks/>
        </xdr:cNvSpPr>
      </xdr:nvSpPr>
      <xdr:spPr>
        <a:xfrm>
          <a:off x="8162925" y="14830425"/>
          <a:ext cx="9810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36</xdr:col>
      <xdr:colOff>381000</xdr:colOff>
      <xdr:row>87</xdr:row>
      <xdr:rowOff>104775</xdr:rowOff>
    </xdr:from>
    <xdr:to>
      <xdr:col>38</xdr:col>
      <xdr:colOff>104775</xdr:colOff>
      <xdr:row>89</xdr:row>
      <xdr:rowOff>19050</xdr:rowOff>
    </xdr:to>
    <xdr:sp>
      <xdr:nvSpPr>
        <xdr:cNvPr id="41" name="Comment 70" hidden="1"/>
        <xdr:cNvSpPr>
          <a:spLocks/>
        </xdr:cNvSpPr>
      </xdr:nvSpPr>
      <xdr:spPr>
        <a:xfrm>
          <a:off x="8343900" y="14830425"/>
          <a:ext cx="9429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35</xdr:col>
      <xdr:colOff>266700</xdr:colOff>
      <xdr:row>88</xdr:row>
      <xdr:rowOff>19050</xdr:rowOff>
    </xdr:from>
    <xdr:to>
      <xdr:col>36</xdr:col>
      <xdr:colOff>390525</xdr:colOff>
      <xdr:row>89</xdr:row>
      <xdr:rowOff>114300</xdr:rowOff>
    </xdr:to>
    <xdr:sp>
      <xdr:nvSpPr>
        <xdr:cNvPr id="42" name="Comment 71" hidden="1"/>
        <xdr:cNvSpPr>
          <a:spLocks/>
        </xdr:cNvSpPr>
      </xdr:nvSpPr>
      <xdr:spPr>
        <a:xfrm>
          <a:off x="7620000" y="14944725"/>
          <a:ext cx="733425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2. párového</a:t>
          </a:r>
        </a:p>
      </xdr:txBody>
    </xdr:sp>
    <xdr:clientData/>
  </xdr:twoCellAnchor>
  <xdr:twoCellAnchor editAs="absolute">
    <xdr:from>
      <xdr:col>36</xdr:col>
      <xdr:colOff>19050</xdr:colOff>
      <xdr:row>88</xdr:row>
      <xdr:rowOff>19050</xdr:rowOff>
    </xdr:from>
    <xdr:to>
      <xdr:col>38</xdr:col>
      <xdr:colOff>219075</xdr:colOff>
      <xdr:row>89</xdr:row>
      <xdr:rowOff>114300</xdr:rowOff>
    </xdr:to>
    <xdr:sp>
      <xdr:nvSpPr>
        <xdr:cNvPr id="43" name="Comment 72" hidden="1"/>
        <xdr:cNvSpPr>
          <a:spLocks/>
        </xdr:cNvSpPr>
      </xdr:nvSpPr>
      <xdr:spPr>
        <a:xfrm>
          <a:off x="7981950" y="14944725"/>
          <a:ext cx="1419225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36</xdr:col>
      <xdr:colOff>200025</xdr:colOff>
      <xdr:row>88</xdr:row>
      <xdr:rowOff>19050</xdr:rowOff>
    </xdr:from>
    <xdr:to>
      <xdr:col>38</xdr:col>
      <xdr:colOff>400050</xdr:colOff>
      <xdr:row>89</xdr:row>
      <xdr:rowOff>114300</xdr:rowOff>
    </xdr:to>
    <xdr:sp>
      <xdr:nvSpPr>
        <xdr:cNvPr id="44" name="Comment 73" hidden="1"/>
        <xdr:cNvSpPr>
          <a:spLocks/>
        </xdr:cNvSpPr>
      </xdr:nvSpPr>
      <xdr:spPr>
        <a:xfrm>
          <a:off x="8162925" y="14944725"/>
          <a:ext cx="1419225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36</xdr:col>
      <xdr:colOff>381000</xdr:colOff>
      <xdr:row>88</xdr:row>
      <xdr:rowOff>19050</xdr:rowOff>
    </xdr:from>
    <xdr:to>
      <xdr:col>38</xdr:col>
      <xdr:colOff>104775</xdr:colOff>
      <xdr:row>89</xdr:row>
      <xdr:rowOff>114300</xdr:rowOff>
    </xdr:to>
    <xdr:sp>
      <xdr:nvSpPr>
        <xdr:cNvPr id="45" name="Comment 74" hidden="1"/>
        <xdr:cNvSpPr>
          <a:spLocks/>
        </xdr:cNvSpPr>
      </xdr:nvSpPr>
      <xdr:spPr>
        <a:xfrm>
          <a:off x="8343900" y="14944725"/>
          <a:ext cx="942975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35</xdr:col>
      <xdr:colOff>257175</xdr:colOff>
      <xdr:row>88</xdr:row>
      <xdr:rowOff>95250</xdr:rowOff>
    </xdr:from>
    <xdr:to>
      <xdr:col>36</xdr:col>
      <xdr:colOff>180975</xdr:colOff>
      <xdr:row>90</xdr:row>
      <xdr:rowOff>28575</xdr:rowOff>
    </xdr:to>
    <xdr:sp>
      <xdr:nvSpPr>
        <xdr:cNvPr id="46" name="Comment 75" hidden="1"/>
        <xdr:cNvSpPr>
          <a:spLocks/>
        </xdr:cNvSpPr>
      </xdr:nvSpPr>
      <xdr:spPr>
        <a:xfrm>
          <a:off x="7610475" y="15020925"/>
          <a:ext cx="533400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(utkání)</a:t>
          </a:r>
        </a:p>
      </xdr:txBody>
    </xdr:sp>
    <xdr:clientData/>
  </xdr:twoCellAnchor>
  <xdr:twoCellAnchor editAs="absolute">
    <xdr:from>
      <xdr:col>36</xdr:col>
      <xdr:colOff>19050</xdr:colOff>
      <xdr:row>88</xdr:row>
      <xdr:rowOff>95250</xdr:rowOff>
    </xdr:from>
    <xdr:to>
      <xdr:col>38</xdr:col>
      <xdr:colOff>219075</xdr:colOff>
      <xdr:row>90</xdr:row>
      <xdr:rowOff>38100</xdr:rowOff>
    </xdr:to>
    <xdr:sp>
      <xdr:nvSpPr>
        <xdr:cNvPr id="47" name="Comment 76" hidden="1"/>
        <xdr:cNvSpPr>
          <a:spLocks/>
        </xdr:cNvSpPr>
      </xdr:nvSpPr>
      <xdr:spPr>
        <a:xfrm>
          <a:off x="7981950" y="15020925"/>
          <a:ext cx="1419225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vyššího párového pořadí</a:t>
          </a:r>
        </a:p>
      </xdr:txBody>
    </xdr:sp>
    <xdr:clientData/>
  </xdr:twoCellAnchor>
  <xdr:twoCellAnchor editAs="absolute">
    <xdr:from>
      <xdr:col>36</xdr:col>
      <xdr:colOff>200025</xdr:colOff>
      <xdr:row>88</xdr:row>
      <xdr:rowOff>95250</xdr:rowOff>
    </xdr:from>
    <xdr:to>
      <xdr:col>38</xdr:col>
      <xdr:colOff>361950</xdr:colOff>
      <xdr:row>90</xdr:row>
      <xdr:rowOff>38100</xdr:rowOff>
    </xdr:to>
    <xdr:sp>
      <xdr:nvSpPr>
        <xdr:cNvPr id="48" name="Comment 77" hidden="1"/>
        <xdr:cNvSpPr>
          <a:spLocks/>
        </xdr:cNvSpPr>
      </xdr:nvSpPr>
      <xdr:spPr>
        <a:xfrm>
          <a:off x="8162925" y="15020925"/>
          <a:ext cx="1381125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nižšího párového pořadí</a:t>
          </a:r>
        </a:p>
      </xdr:txBody>
    </xdr:sp>
    <xdr:clientData/>
  </xdr:twoCellAnchor>
  <xdr:twoCellAnchor editAs="absolute">
    <xdr:from>
      <xdr:col>36</xdr:col>
      <xdr:colOff>381000</xdr:colOff>
      <xdr:row>88</xdr:row>
      <xdr:rowOff>95250</xdr:rowOff>
    </xdr:from>
    <xdr:to>
      <xdr:col>38</xdr:col>
      <xdr:colOff>104775</xdr:colOff>
      <xdr:row>90</xdr:row>
      <xdr:rowOff>38100</xdr:rowOff>
    </xdr:to>
    <xdr:sp>
      <xdr:nvSpPr>
        <xdr:cNvPr id="49" name="Comment 78" hidden="1"/>
        <xdr:cNvSpPr>
          <a:spLocks/>
        </xdr:cNvSpPr>
      </xdr:nvSpPr>
      <xdr:spPr>
        <a:xfrm>
          <a:off x="8343900" y="15020925"/>
          <a:ext cx="942975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35</xdr:col>
      <xdr:colOff>247650</xdr:colOff>
      <xdr:row>89</xdr:row>
      <xdr:rowOff>0</xdr:rowOff>
    </xdr:from>
    <xdr:to>
      <xdr:col>36</xdr:col>
      <xdr:colOff>76200</xdr:colOff>
      <xdr:row>90</xdr:row>
      <xdr:rowOff>95250</xdr:rowOff>
    </xdr:to>
    <xdr:sp>
      <xdr:nvSpPr>
        <xdr:cNvPr id="50" name="Comment 79" hidden="1"/>
        <xdr:cNvSpPr>
          <a:spLocks/>
        </xdr:cNvSpPr>
      </xdr:nvSpPr>
      <xdr:spPr>
        <a:xfrm>
          <a:off x="7600950" y="15087600"/>
          <a:ext cx="438150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
utkání</a:t>
          </a:r>
        </a:p>
      </xdr:txBody>
    </xdr:sp>
    <xdr:clientData/>
  </xdr:twoCellAnchor>
  <xdr:twoCellAnchor editAs="absolute">
    <xdr:from>
      <xdr:col>36</xdr:col>
      <xdr:colOff>9525</xdr:colOff>
      <xdr:row>89</xdr:row>
      <xdr:rowOff>9525</xdr:rowOff>
    </xdr:from>
    <xdr:to>
      <xdr:col>38</xdr:col>
      <xdr:colOff>228600</xdr:colOff>
      <xdr:row>91</xdr:row>
      <xdr:rowOff>66675</xdr:rowOff>
    </xdr:to>
    <xdr:sp>
      <xdr:nvSpPr>
        <xdr:cNvPr id="51" name="Comment 80" hidden="1"/>
        <xdr:cNvSpPr>
          <a:spLocks/>
        </xdr:cNvSpPr>
      </xdr:nvSpPr>
      <xdr:spPr>
        <a:xfrm>
          <a:off x="7972425" y="15097125"/>
          <a:ext cx="1438275" cy="3810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36</xdr:col>
      <xdr:colOff>190500</xdr:colOff>
      <xdr:row>89</xdr:row>
      <xdr:rowOff>9525</xdr:rowOff>
    </xdr:from>
    <xdr:to>
      <xdr:col>38</xdr:col>
      <xdr:colOff>371475</xdr:colOff>
      <xdr:row>91</xdr:row>
      <xdr:rowOff>66675</xdr:rowOff>
    </xdr:to>
    <xdr:sp>
      <xdr:nvSpPr>
        <xdr:cNvPr id="52" name="Comment 81" hidden="1"/>
        <xdr:cNvSpPr>
          <a:spLocks/>
        </xdr:cNvSpPr>
      </xdr:nvSpPr>
      <xdr:spPr>
        <a:xfrm>
          <a:off x="8153400" y="15097125"/>
          <a:ext cx="1400175" cy="3810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nižšího párového pořadí</a:t>
          </a:r>
        </a:p>
      </xdr:txBody>
    </xdr:sp>
    <xdr:clientData/>
  </xdr:twoCellAnchor>
  <xdr:twoCellAnchor editAs="absolute">
    <xdr:from>
      <xdr:col>36</xdr:col>
      <xdr:colOff>381000</xdr:colOff>
      <xdr:row>89</xdr:row>
      <xdr:rowOff>19050</xdr:rowOff>
    </xdr:from>
    <xdr:to>
      <xdr:col>37</xdr:col>
      <xdr:colOff>590550</xdr:colOff>
      <xdr:row>90</xdr:row>
      <xdr:rowOff>114300</xdr:rowOff>
    </xdr:to>
    <xdr:sp>
      <xdr:nvSpPr>
        <xdr:cNvPr id="53" name="Comment 82" hidden="1"/>
        <xdr:cNvSpPr>
          <a:spLocks/>
        </xdr:cNvSpPr>
      </xdr:nvSpPr>
      <xdr:spPr>
        <a:xfrm>
          <a:off x="8343900" y="15106650"/>
          <a:ext cx="819150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36</xdr:col>
      <xdr:colOff>561975</xdr:colOff>
      <xdr:row>89</xdr:row>
      <xdr:rowOff>19050</xdr:rowOff>
    </xdr:from>
    <xdr:to>
      <xdr:col>38</xdr:col>
      <xdr:colOff>171450</xdr:colOff>
      <xdr:row>90</xdr:row>
      <xdr:rowOff>114300</xdr:rowOff>
    </xdr:to>
    <xdr:sp>
      <xdr:nvSpPr>
        <xdr:cNvPr id="54" name="Comment 83" hidden="1"/>
        <xdr:cNvSpPr>
          <a:spLocks/>
        </xdr:cNvSpPr>
      </xdr:nvSpPr>
      <xdr:spPr>
        <a:xfrm>
          <a:off x="8524875" y="15106650"/>
          <a:ext cx="828675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1. utkání
z minitabulky</a:t>
          </a:r>
        </a:p>
      </xdr:txBody>
    </xdr:sp>
    <xdr:clientData/>
  </xdr:twoCellAnchor>
  <xdr:twoCellAnchor editAs="absolute">
    <xdr:from>
      <xdr:col>35</xdr:col>
      <xdr:colOff>266700</xdr:colOff>
      <xdr:row>89</xdr:row>
      <xdr:rowOff>114300</xdr:rowOff>
    </xdr:from>
    <xdr:to>
      <xdr:col>37</xdr:col>
      <xdr:colOff>28575</xdr:colOff>
      <xdr:row>91</xdr:row>
      <xdr:rowOff>57150</xdr:rowOff>
    </xdr:to>
    <xdr:sp>
      <xdr:nvSpPr>
        <xdr:cNvPr id="55" name="Comment 84" hidden="1"/>
        <xdr:cNvSpPr>
          <a:spLocks/>
        </xdr:cNvSpPr>
      </xdr:nvSpPr>
      <xdr:spPr>
        <a:xfrm>
          <a:off x="7620000" y="15201900"/>
          <a:ext cx="981075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</a:t>
          </a:r>
        </a:p>
      </xdr:txBody>
    </xdr:sp>
    <xdr:clientData/>
  </xdr:twoCellAnchor>
  <xdr:twoCellAnchor editAs="absolute">
    <xdr:from>
      <xdr:col>36</xdr:col>
      <xdr:colOff>381000</xdr:colOff>
      <xdr:row>89</xdr:row>
      <xdr:rowOff>114300</xdr:rowOff>
    </xdr:from>
    <xdr:to>
      <xdr:col>37</xdr:col>
      <xdr:colOff>590550</xdr:colOff>
      <xdr:row>91</xdr:row>
      <xdr:rowOff>57150</xdr:rowOff>
    </xdr:to>
    <xdr:sp>
      <xdr:nvSpPr>
        <xdr:cNvPr id="56" name="Comment 85" hidden="1"/>
        <xdr:cNvSpPr>
          <a:spLocks/>
        </xdr:cNvSpPr>
      </xdr:nvSpPr>
      <xdr:spPr>
        <a:xfrm>
          <a:off x="8343900" y="15201900"/>
          <a:ext cx="819150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36</xdr:col>
      <xdr:colOff>561975</xdr:colOff>
      <xdr:row>89</xdr:row>
      <xdr:rowOff>114300</xdr:rowOff>
    </xdr:from>
    <xdr:to>
      <xdr:col>38</xdr:col>
      <xdr:colOff>171450</xdr:colOff>
      <xdr:row>91</xdr:row>
      <xdr:rowOff>57150</xdr:rowOff>
    </xdr:to>
    <xdr:sp>
      <xdr:nvSpPr>
        <xdr:cNvPr id="57" name="Comment 86" hidden="1"/>
        <xdr:cNvSpPr>
          <a:spLocks/>
        </xdr:cNvSpPr>
      </xdr:nvSpPr>
      <xdr:spPr>
        <a:xfrm>
          <a:off x="8524875" y="15201900"/>
          <a:ext cx="828675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2. utkání
z minitabulky</a:t>
          </a:r>
        </a:p>
      </xdr:txBody>
    </xdr:sp>
    <xdr:clientData/>
  </xdr:twoCellAnchor>
  <xdr:twoCellAnchor editAs="absolute">
    <xdr:from>
      <xdr:col>36</xdr:col>
      <xdr:colOff>381000</xdr:colOff>
      <xdr:row>90</xdr:row>
      <xdr:rowOff>19050</xdr:rowOff>
    </xdr:from>
    <xdr:to>
      <xdr:col>37</xdr:col>
      <xdr:colOff>590550</xdr:colOff>
      <xdr:row>91</xdr:row>
      <xdr:rowOff>114300</xdr:rowOff>
    </xdr:to>
    <xdr:sp>
      <xdr:nvSpPr>
        <xdr:cNvPr id="58" name="Comment 87" hidden="1"/>
        <xdr:cNvSpPr>
          <a:spLocks/>
        </xdr:cNvSpPr>
      </xdr:nvSpPr>
      <xdr:spPr>
        <a:xfrm>
          <a:off x="8343900" y="15268575"/>
          <a:ext cx="819150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36</xdr:col>
      <xdr:colOff>561975</xdr:colOff>
      <xdr:row>90</xdr:row>
      <xdr:rowOff>19050</xdr:rowOff>
    </xdr:from>
    <xdr:to>
      <xdr:col>38</xdr:col>
      <xdr:colOff>171450</xdr:colOff>
      <xdr:row>91</xdr:row>
      <xdr:rowOff>114300</xdr:rowOff>
    </xdr:to>
    <xdr:sp>
      <xdr:nvSpPr>
        <xdr:cNvPr id="59" name="Comment 88" hidden="1"/>
        <xdr:cNvSpPr>
          <a:spLocks/>
        </xdr:cNvSpPr>
      </xdr:nvSpPr>
      <xdr:spPr>
        <a:xfrm>
          <a:off x="8524875" y="15268575"/>
          <a:ext cx="828675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3. utkání
z minitabulky</a:t>
          </a:r>
        </a:p>
      </xdr:txBody>
    </xdr:sp>
    <xdr:clientData/>
  </xdr:twoCellAnchor>
  <xdr:twoCellAnchor editAs="absolute">
    <xdr:from>
      <xdr:col>7</xdr:col>
      <xdr:colOff>123825</xdr:colOff>
      <xdr:row>65</xdr:row>
      <xdr:rowOff>114300</xdr:rowOff>
    </xdr:from>
    <xdr:to>
      <xdr:col>10</xdr:col>
      <xdr:colOff>142875</xdr:colOff>
      <xdr:row>66</xdr:row>
      <xdr:rowOff>200025</xdr:rowOff>
    </xdr:to>
    <xdr:sp>
      <xdr:nvSpPr>
        <xdr:cNvPr id="60" name="Comment 89" hidden="1"/>
        <xdr:cNvSpPr>
          <a:spLocks/>
        </xdr:cNvSpPr>
      </xdr:nvSpPr>
      <xdr:spPr>
        <a:xfrm>
          <a:off x="2200275" y="10182225"/>
          <a:ext cx="10287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ze čtvrtých míst</a:t>
          </a:r>
        </a:p>
      </xdr:txBody>
    </xdr:sp>
    <xdr:clientData/>
  </xdr:twoCellAnchor>
  <xdr:twoCellAnchor editAs="absolute">
    <xdr:from>
      <xdr:col>7</xdr:col>
      <xdr:colOff>123825</xdr:colOff>
      <xdr:row>66</xdr:row>
      <xdr:rowOff>114300</xdr:rowOff>
    </xdr:from>
    <xdr:to>
      <xdr:col>10</xdr:col>
      <xdr:colOff>123825</xdr:colOff>
      <xdr:row>67</xdr:row>
      <xdr:rowOff>200025</xdr:rowOff>
    </xdr:to>
    <xdr:sp>
      <xdr:nvSpPr>
        <xdr:cNvPr id="61" name="Comment 90" hidden="1"/>
        <xdr:cNvSpPr>
          <a:spLocks/>
        </xdr:cNvSpPr>
      </xdr:nvSpPr>
      <xdr:spPr>
        <a:xfrm>
          <a:off x="2200275" y="10429875"/>
          <a:ext cx="10096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ze třetích míst</a:t>
          </a:r>
        </a:p>
      </xdr:txBody>
    </xdr:sp>
    <xdr:clientData/>
  </xdr:twoCellAnchor>
  <xdr:twoCellAnchor editAs="absolute">
    <xdr:from>
      <xdr:col>7</xdr:col>
      <xdr:colOff>123825</xdr:colOff>
      <xdr:row>67</xdr:row>
      <xdr:rowOff>114300</xdr:rowOff>
    </xdr:from>
    <xdr:to>
      <xdr:col>10</xdr:col>
      <xdr:colOff>133350</xdr:colOff>
      <xdr:row>68</xdr:row>
      <xdr:rowOff>200025</xdr:rowOff>
    </xdr:to>
    <xdr:sp>
      <xdr:nvSpPr>
        <xdr:cNvPr id="62" name="Comment 91" hidden="1"/>
        <xdr:cNvSpPr>
          <a:spLocks/>
        </xdr:cNvSpPr>
      </xdr:nvSpPr>
      <xdr:spPr>
        <a:xfrm>
          <a:off x="2200275" y="10677525"/>
          <a:ext cx="10191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ze druhých míst</a:t>
          </a:r>
        </a:p>
      </xdr:txBody>
    </xdr:sp>
    <xdr:clientData/>
  </xdr:twoCellAnchor>
  <xdr:twoCellAnchor editAs="absolute">
    <xdr:from>
      <xdr:col>7</xdr:col>
      <xdr:colOff>123825</xdr:colOff>
      <xdr:row>68</xdr:row>
      <xdr:rowOff>114300</xdr:rowOff>
    </xdr:from>
    <xdr:to>
      <xdr:col>10</xdr:col>
      <xdr:colOff>123825</xdr:colOff>
      <xdr:row>69</xdr:row>
      <xdr:rowOff>200025</xdr:rowOff>
    </xdr:to>
    <xdr:sp>
      <xdr:nvSpPr>
        <xdr:cNvPr id="63" name="Comment 92" hidden="1"/>
        <xdr:cNvSpPr>
          <a:spLocks/>
        </xdr:cNvSpPr>
      </xdr:nvSpPr>
      <xdr:spPr>
        <a:xfrm>
          <a:off x="2200275" y="10925175"/>
          <a:ext cx="10096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 prvních míst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57150</xdr:colOff>
      <xdr:row>3</xdr:row>
      <xdr:rowOff>180975</xdr:rowOff>
    </xdr:from>
    <xdr:to>
      <xdr:col>10</xdr:col>
      <xdr:colOff>419100</xdr:colOff>
      <xdr:row>5</xdr:row>
      <xdr:rowOff>19050</xdr:rowOff>
    </xdr:to>
    <xdr:sp>
      <xdr:nvSpPr>
        <xdr:cNvPr id="1" name="Comment 1" hidden="1"/>
        <xdr:cNvSpPr>
          <a:spLocks/>
        </xdr:cNvSpPr>
      </xdr:nvSpPr>
      <xdr:spPr>
        <a:xfrm>
          <a:off x="2971800" y="100965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12</xdr:col>
      <xdr:colOff>57150</xdr:colOff>
      <xdr:row>9</xdr:row>
      <xdr:rowOff>9525</xdr:rowOff>
    </xdr:from>
    <xdr:to>
      <xdr:col>14</xdr:col>
      <xdr:colOff>142875</xdr:colOff>
      <xdr:row>10</xdr:row>
      <xdr:rowOff>85725</xdr:rowOff>
    </xdr:to>
    <xdr:sp>
      <xdr:nvSpPr>
        <xdr:cNvPr id="2" name="Comment 3" hidden="1"/>
        <xdr:cNvSpPr>
          <a:spLocks/>
        </xdr:cNvSpPr>
      </xdr:nvSpPr>
      <xdr:spPr>
        <a:xfrm>
          <a:off x="4095750" y="2324100"/>
          <a:ext cx="1143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12</xdr:col>
      <xdr:colOff>57150</xdr:colOff>
      <xdr:row>9</xdr:row>
      <xdr:rowOff>9525</xdr:rowOff>
    </xdr:from>
    <xdr:to>
      <xdr:col>14</xdr:col>
      <xdr:colOff>133350</xdr:colOff>
      <xdr:row>10</xdr:row>
      <xdr:rowOff>85725</xdr:rowOff>
    </xdr:to>
    <xdr:sp>
      <xdr:nvSpPr>
        <xdr:cNvPr id="3" name="Comment 4" hidden="1"/>
        <xdr:cNvSpPr>
          <a:spLocks/>
        </xdr:cNvSpPr>
      </xdr:nvSpPr>
      <xdr:spPr>
        <a:xfrm>
          <a:off x="4095750" y="2324100"/>
          <a:ext cx="11334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12</xdr:col>
      <xdr:colOff>0</xdr:colOff>
      <xdr:row>3</xdr:row>
      <xdr:rowOff>200025</xdr:rowOff>
    </xdr:from>
    <xdr:to>
      <xdr:col>13</xdr:col>
      <xdr:colOff>476250</xdr:colOff>
      <xdr:row>5</xdr:row>
      <xdr:rowOff>38100</xdr:rowOff>
    </xdr:to>
    <xdr:sp>
      <xdr:nvSpPr>
        <xdr:cNvPr id="4" name="Comment 31" hidden="1"/>
        <xdr:cNvSpPr>
          <a:spLocks/>
        </xdr:cNvSpPr>
      </xdr:nvSpPr>
      <xdr:spPr>
        <a:xfrm>
          <a:off x="4038600" y="102870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11</xdr:col>
      <xdr:colOff>85725</xdr:colOff>
      <xdr:row>14</xdr:row>
      <xdr:rowOff>190500</xdr:rowOff>
    </xdr:from>
    <xdr:to>
      <xdr:col>14</xdr:col>
      <xdr:colOff>57150</xdr:colOff>
      <xdr:row>16</xdr:row>
      <xdr:rowOff>28575</xdr:rowOff>
    </xdr:to>
    <xdr:sp>
      <xdr:nvSpPr>
        <xdr:cNvPr id="5" name="Comment 60" hidden="1"/>
        <xdr:cNvSpPr>
          <a:spLocks/>
        </xdr:cNvSpPr>
      </xdr:nvSpPr>
      <xdr:spPr>
        <a:xfrm>
          <a:off x="4010025" y="3743325"/>
          <a:ext cx="11430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12</xdr:col>
      <xdr:colOff>200025</xdr:colOff>
      <xdr:row>14</xdr:row>
      <xdr:rowOff>190500</xdr:rowOff>
    </xdr:from>
    <xdr:to>
      <xdr:col>14</xdr:col>
      <xdr:colOff>276225</xdr:colOff>
      <xdr:row>16</xdr:row>
      <xdr:rowOff>28575</xdr:rowOff>
    </xdr:to>
    <xdr:sp>
      <xdr:nvSpPr>
        <xdr:cNvPr id="6" name="Comment 61" hidden="1"/>
        <xdr:cNvSpPr>
          <a:spLocks/>
        </xdr:cNvSpPr>
      </xdr:nvSpPr>
      <xdr:spPr>
        <a:xfrm>
          <a:off x="4238625" y="3743325"/>
          <a:ext cx="11334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12</xdr:col>
      <xdr:colOff>28575</xdr:colOff>
      <xdr:row>20</xdr:row>
      <xdr:rowOff>190500</xdr:rowOff>
    </xdr:from>
    <xdr:to>
      <xdr:col>14</xdr:col>
      <xdr:colOff>114300</xdr:colOff>
      <xdr:row>22</xdr:row>
      <xdr:rowOff>28575</xdr:rowOff>
    </xdr:to>
    <xdr:sp>
      <xdr:nvSpPr>
        <xdr:cNvPr id="7" name="Comment 62" hidden="1"/>
        <xdr:cNvSpPr>
          <a:spLocks/>
        </xdr:cNvSpPr>
      </xdr:nvSpPr>
      <xdr:spPr>
        <a:xfrm>
          <a:off x="4067175" y="5229225"/>
          <a:ext cx="11430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13</xdr:col>
      <xdr:colOff>142875</xdr:colOff>
      <xdr:row>20</xdr:row>
      <xdr:rowOff>190500</xdr:rowOff>
    </xdr:from>
    <xdr:to>
      <xdr:col>15</xdr:col>
      <xdr:colOff>57150</xdr:colOff>
      <xdr:row>22</xdr:row>
      <xdr:rowOff>28575</xdr:rowOff>
    </xdr:to>
    <xdr:sp>
      <xdr:nvSpPr>
        <xdr:cNvPr id="8" name="Comment 63" hidden="1"/>
        <xdr:cNvSpPr>
          <a:spLocks/>
        </xdr:cNvSpPr>
      </xdr:nvSpPr>
      <xdr:spPr>
        <a:xfrm>
          <a:off x="4629150" y="5229225"/>
          <a:ext cx="11334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4</xdr:col>
      <xdr:colOff>123825</xdr:colOff>
      <xdr:row>15</xdr:row>
      <xdr:rowOff>76200</xdr:rowOff>
    </xdr:from>
    <xdr:to>
      <xdr:col>7</xdr:col>
      <xdr:colOff>142875</xdr:colOff>
      <xdr:row>16</xdr:row>
      <xdr:rowOff>161925</xdr:rowOff>
    </xdr:to>
    <xdr:sp>
      <xdr:nvSpPr>
        <xdr:cNvPr id="9" name="Comment 64" hidden="1"/>
        <xdr:cNvSpPr>
          <a:spLocks/>
        </xdr:cNvSpPr>
      </xdr:nvSpPr>
      <xdr:spPr>
        <a:xfrm>
          <a:off x="1581150" y="3876675"/>
          <a:ext cx="10287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vítězové
čtvrtfinále 1 a 2</a:t>
          </a:r>
        </a:p>
      </xdr:txBody>
    </xdr:sp>
    <xdr:clientData/>
  </xdr:twoCellAnchor>
  <xdr:twoCellAnchor editAs="absolute">
    <xdr:from>
      <xdr:col>4</xdr:col>
      <xdr:colOff>123825</xdr:colOff>
      <xdr:row>16</xdr:row>
      <xdr:rowOff>76200</xdr:rowOff>
    </xdr:from>
    <xdr:to>
      <xdr:col>7</xdr:col>
      <xdr:colOff>142875</xdr:colOff>
      <xdr:row>17</xdr:row>
      <xdr:rowOff>161925</xdr:rowOff>
    </xdr:to>
    <xdr:sp>
      <xdr:nvSpPr>
        <xdr:cNvPr id="10" name="Comment 65" hidden="1"/>
        <xdr:cNvSpPr>
          <a:spLocks/>
        </xdr:cNvSpPr>
      </xdr:nvSpPr>
      <xdr:spPr>
        <a:xfrm>
          <a:off x="1581150" y="4124325"/>
          <a:ext cx="10287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vítězové
čtvrtfinále 3 a 4</a:t>
          </a:r>
        </a:p>
      </xdr:txBody>
    </xdr:sp>
    <xdr:clientData/>
  </xdr:twoCellAnchor>
  <xdr:twoCellAnchor editAs="absolute">
    <xdr:from>
      <xdr:col>4</xdr:col>
      <xdr:colOff>123825</xdr:colOff>
      <xdr:row>17</xdr:row>
      <xdr:rowOff>76200</xdr:rowOff>
    </xdr:from>
    <xdr:to>
      <xdr:col>7</xdr:col>
      <xdr:colOff>142875</xdr:colOff>
      <xdr:row>18</xdr:row>
      <xdr:rowOff>161925</xdr:rowOff>
    </xdr:to>
    <xdr:sp>
      <xdr:nvSpPr>
        <xdr:cNvPr id="11" name="Comment 66" hidden="1"/>
        <xdr:cNvSpPr>
          <a:spLocks/>
        </xdr:cNvSpPr>
      </xdr:nvSpPr>
      <xdr:spPr>
        <a:xfrm>
          <a:off x="1581150" y="4371975"/>
          <a:ext cx="10287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poražení
čtvrtfinále 1 a 2</a:t>
          </a:r>
        </a:p>
      </xdr:txBody>
    </xdr:sp>
    <xdr:clientData/>
  </xdr:twoCellAnchor>
  <xdr:twoCellAnchor editAs="absolute">
    <xdr:from>
      <xdr:col>4</xdr:col>
      <xdr:colOff>123825</xdr:colOff>
      <xdr:row>18</xdr:row>
      <xdr:rowOff>76200</xdr:rowOff>
    </xdr:from>
    <xdr:to>
      <xdr:col>7</xdr:col>
      <xdr:colOff>142875</xdr:colOff>
      <xdr:row>19</xdr:row>
      <xdr:rowOff>161925</xdr:rowOff>
    </xdr:to>
    <xdr:sp>
      <xdr:nvSpPr>
        <xdr:cNvPr id="12" name="Comment 67" hidden="1"/>
        <xdr:cNvSpPr>
          <a:spLocks/>
        </xdr:cNvSpPr>
      </xdr:nvSpPr>
      <xdr:spPr>
        <a:xfrm>
          <a:off x="1581150" y="4619625"/>
          <a:ext cx="10287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poražení
čtvrtfinále 3 a 4</a:t>
          </a:r>
        </a:p>
      </xdr:txBody>
    </xdr:sp>
    <xdr:clientData/>
  </xdr:twoCellAnchor>
  <xdr:twoCellAnchor editAs="absolute">
    <xdr:from>
      <xdr:col>4</xdr:col>
      <xdr:colOff>142875</xdr:colOff>
      <xdr:row>21</xdr:row>
      <xdr:rowOff>38100</xdr:rowOff>
    </xdr:from>
    <xdr:to>
      <xdr:col>7</xdr:col>
      <xdr:colOff>209550</xdr:colOff>
      <xdr:row>22</xdr:row>
      <xdr:rowOff>133350</xdr:rowOff>
    </xdr:to>
    <xdr:sp>
      <xdr:nvSpPr>
        <xdr:cNvPr id="13" name="Comment 68" hidden="1"/>
        <xdr:cNvSpPr>
          <a:spLocks/>
        </xdr:cNvSpPr>
      </xdr:nvSpPr>
      <xdr:spPr>
        <a:xfrm>
          <a:off x="1600200" y="5324475"/>
          <a:ext cx="1076325" cy="3429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poražení ze
semifinále 7. a 8.</a:t>
          </a:r>
        </a:p>
      </xdr:txBody>
    </xdr:sp>
    <xdr:clientData/>
  </xdr:twoCellAnchor>
  <xdr:twoCellAnchor editAs="absolute">
    <xdr:from>
      <xdr:col>4</xdr:col>
      <xdr:colOff>123825</xdr:colOff>
      <xdr:row>22</xdr:row>
      <xdr:rowOff>76200</xdr:rowOff>
    </xdr:from>
    <xdr:to>
      <xdr:col>7</xdr:col>
      <xdr:colOff>190500</xdr:colOff>
      <xdr:row>23</xdr:row>
      <xdr:rowOff>161925</xdr:rowOff>
    </xdr:to>
    <xdr:sp>
      <xdr:nvSpPr>
        <xdr:cNvPr id="14" name="Comment 69" hidden="1"/>
        <xdr:cNvSpPr>
          <a:spLocks/>
        </xdr:cNvSpPr>
      </xdr:nvSpPr>
      <xdr:spPr>
        <a:xfrm>
          <a:off x="1581150" y="5610225"/>
          <a:ext cx="10763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vítězové ze
semifinále 7. a 8.</a:t>
          </a:r>
        </a:p>
      </xdr:txBody>
    </xdr:sp>
    <xdr:clientData/>
  </xdr:twoCellAnchor>
  <xdr:twoCellAnchor editAs="absolute">
    <xdr:from>
      <xdr:col>4</xdr:col>
      <xdr:colOff>123825</xdr:colOff>
      <xdr:row>23</xdr:row>
      <xdr:rowOff>76200</xdr:rowOff>
    </xdr:from>
    <xdr:to>
      <xdr:col>7</xdr:col>
      <xdr:colOff>190500</xdr:colOff>
      <xdr:row>24</xdr:row>
      <xdr:rowOff>161925</xdr:rowOff>
    </xdr:to>
    <xdr:sp>
      <xdr:nvSpPr>
        <xdr:cNvPr id="15" name="Comment 70" hidden="1"/>
        <xdr:cNvSpPr>
          <a:spLocks/>
        </xdr:cNvSpPr>
      </xdr:nvSpPr>
      <xdr:spPr>
        <a:xfrm>
          <a:off x="1581150" y="5857875"/>
          <a:ext cx="10763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poražení ze
semifinále 5. a 6.</a:t>
          </a:r>
        </a:p>
      </xdr:txBody>
    </xdr:sp>
    <xdr:clientData/>
  </xdr:twoCellAnchor>
  <xdr:twoCellAnchor editAs="absolute">
    <xdr:from>
      <xdr:col>4</xdr:col>
      <xdr:colOff>123825</xdr:colOff>
      <xdr:row>24</xdr:row>
      <xdr:rowOff>76200</xdr:rowOff>
    </xdr:from>
    <xdr:to>
      <xdr:col>7</xdr:col>
      <xdr:colOff>190500</xdr:colOff>
      <xdr:row>25</xdr:row>
      <xdr:rowOff>161925</xdr:rowOff>
    </xdr:to>
    <xdr:sp>
      <xdr:nvSpPr>
        <xdr:cNvPr id="16" name="Comment 71" hidden="1"/>
        <xdr:cNvSpPr>
          <a:spLocks/>
        </xdr:cNvSpPr>
      </xdr:nvSpPr>
      <xdr:spPr>
        <a:xfrm>
          <a:off x="1581150" y="6105525"/>
          <a:ext cx="10763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vítězové ze
semifinále 5. a 6.</a:t>
          </a:r>
        </a:p>
      </xdr:txBody>
    </xdr:sp>
    <xdr:clientData/>
  </xdr:twoCellAnchor>
  <xdr:twoCellAnchor editAs="absolute">
    <xdr:from>
      <xdr:col>4</xdr:col>
      <xdr:colOff>133350</xdr:colOff>
      <xdr:row>9</xdr:row>
      <xdr:rowOff>85725</xdr:rowOff>
    </xdr:from>
    <xdr:to>
      <xdr:col>6</xdr:col>
      <xdr:colOff>371475</xdr:colOff>
      <xdr:row>10</xdr:row>
      <xdr:rowOff>28575</xdr:rowOff>
    </xdr:to>
    <xdr:sp>
      <xdr:nvSpPr>
        <xdr:cNvPr id="17" name="Comment 72" hidden="1"/>
        <xdr:cNvSpPr>
          <a:spLocks/>
        </xdr:cNvSpPr>
      </xdr:nvSpPr>
      <xdr:spPr>
        <a:xfrm>
          <a:off x="1590675" y="2400300"/>
          <a:ext cx="800100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čtvrtfinále 1</a:t>
          </a:r>
        </a:p>
      </xdr:txBody>
    </xdr:sp>
    <xdr:clientData/>
  </xdr:twoCellAnchor>
  <xdr:twoCellAnchor editAs="absolute">
    <xdr:from>
      <xdr:col>4</xdr:col>
      <xdr:colOff>133350</xdr:colOff>
      <xdr:row>10</xdr:row>
      <xdr:rowOff>85725</xdr:rowOff>
    </xdr:from>
    <xdr:to>
      <xdr:col>6</xdr:col>
      <xdr:colOff>371475</xdr:colOff>
      <xdr:row>11</xdr:row>
      <xdr:rowOff>28575</xdr:rowOff>
    </xdr:to>
    <xdr:sp>
      <xdr:nvSpPr>
        <xdr:cNvPr id="18" name="Comment 73" hidden="1"/>
        <xdr:cNvSpPr>
          <a:spLocks/>
        </xdr:cNvSpPr>
      </xdr:nvSpPr>
      <xdr:spPr>
        <a:xfrm>
          <a:off x="1590675" y="2647950"/>
          <a:ext cx="800100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čtvrtfinále 2</a:t>
          </a:r>
        </a:p>
      </xdr:txBody>
    </xdr:sp>
    <xdr:clientData/>
  </xdr:twoCellAnchor>
  <xdr:twoCellAnchor editAs="absolute">
    <xdr:from>
      <xdr:col>4</xdr:col>
      <xdr:colOff>133350</xdr:colOff>
      <xdr:row>11</xdr:row>
      <xdr:rowOff>85725</xdr:rowOff>
    </xdr:from>
    <xdr:to>
      <xdr:col>6</xdr:col>
      <xdr:colOff>371475</xdr:colOff>
      <xdr:row>12</xdr:row>
      <xdr:rowOff>28575</xdr:rowOff>
    </xdr:to>
    <xdr:sp>
      <xdr:nvSpPr>
        <xdr:cNvPr id="19" name="Comment 74" hidden="1"/>
        <xdr:cNvSpPr>
          <a:spLocks/>
        </xdr:cNvSpPr>
      </xdr:nvSpPr>
      <xdr:spPr>
        <a:xfrm>
          <a:off x="1590675" y="2895600"/>
          <a:ext cx="800100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čtvrtfinále 3</a:t>
          </a:r>
        </a:p>
      </xdr:txBody>
    </xdr:sp>
    <xdr:clientData/>
  </xdr:twoCellAnchor>
  <xdr:twoCellAnchor editAs="absolute">
    <xdr:from>
      <xdr:col>4</xdr:col>
      <xdr:colOff>133350</xdr:colOff>
      <xdr:row>12</xdr:row>
      <xdr:rowOff>85725</xdr:rowOff>
    </xdr:from>
    <xdr:to>
      <xdr:col>6</xdr:col>
      <xdr:colOff>371475</xdr:colOff>
      <xdr:row>13</xdr:row>
      <xdr:rowOff>28575</xdr:rowOff>
    </xdr:to>
    <xdr:sp>
      <xdr:nvSpPr>
        <xdr:cNvPr id="20" name="Comment 75" hidden="1"/>
        <xdr:cNvSpPr>
          <a:spLocks/>
        </xdr:cNvSpPr>
      </xdr:nvSpPr>
      <xdr:spPr>
        <a:xfrm>
          <a:off x="1590675" y="3143250"/>
          <a:ext cx="800100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čtvrtfinále 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3</xdr:row>
      <xdr:rowOff>152400</xdr:rowOff>
    </xdr:from>
    <xdr:to>
      <xdr:col>12</xdr:col>
      <xdr:colOff>0</xdr:colOff>
      <xdr:row>4</xdr:row>
      <xdr:rowOff>219075</xdr:rowOff>
    </xdr:to>
    <xdr:sp>
      <xdr:nvSpPr>
        <xdr:cNvPr id="1" name="Comment 1" hidden="1"/>
        <xdr:cNvSpPr>
          <a:spLocks/>
        </xdr:cNvSpPr>
      </xdr:nvSpPr>
      <xdr:spPr>
        <a:xfrm>
          <a:off x="2724150" y="990600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20</xdr:col>
      <xdr:colOff>114300</xdr:colOff>
      <xdr:row>3</xdr:row>
      <xdr:rowOff>152400</xdr:rowOff>
    </xdr:from>
    <xdr:to>
      <xdr:col>21</xdr:col>
      <xdr:colOff>95250</xdr:colOff>
      <xdr:row>4</xdr:row>
      <xdr:rowOff>219075</xdr:rowOff>
    </xdr:to>
    <xdr:sp>
      <xdr:nvSpPr>
        <xdr:cNvPr id="2" name="Comment 2" hidden="1"/>
        <xdr:cNvSpPr>
          <a:spLocks/>
        </xdr:cNvSpPr>
      </xdr:nvSpPr>
      <xdr:spPr>
        <a:xfrm>
          <a:off x="7067550" y="990600"/>
          <a:ext cx="5905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16</xdr:col>
      <xdr:colOff>314325</xdr:colOff>
      <xdr:row>9</xdr:row>
      <xdr:rowOff>180975</xdr:rowOff>
    </xdr:from>
    <xdr:to>
      <xdr:col>18</xdr:col>
      <xdr:colOff>561975</xdr:colOff>
      <xdr:row>11</xdr:row>
      <xdr:rowOff>19050</xdr:rowOff>
    </xdr:to>
    <xdr:sp>
      <xdr:nvSpPr>
        <xdr:cNvPr id="3" name="Comment 3" hidden="1"/>
        <xdr:cNvSpPr>
          <a:spLocks/>
        </xdr:cNvSpPr>
      </xdr:nvSpPr>
      <xdr:spPr>
        <a:xfrm>
          <a:off x="5153025" y="2505075"/>
          <a:ext cx="11430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114300</xdr:colOff>
      <xdr:row>9</xdr:row>
      <xdr:rowOff>180975</xdr:rowOff>
    </xdr:from>
    <xdr:to>
      <xdr:col>20</xdr:col>
      <xdr:colOff>28575</xdr:colOff>
      <xdr:row>11</xdr:row>
      <xdr:rowOff>19050</xdr:rowOff>
    </xdr:to>
    <xdr:sp>
      <xdr:nvSpPr>
        <xdr:cNvPr id="4" name="Comment 4" hidden="1"/>
        <xdr:cNvSpPr>
          <a:spLocks/>
        </xdr:cNvSpPr>
      </xdr:nvSpPr>
      <xdr:spPr>
        <a:xfrm>
          <a:off x="5848350" y="2505075"/>
          <a:ext cx="11334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13</xdr:col>
      <xdr:colOff>142875</xdr:colOff>
      <xdr:row>3</xdr:row>
      <xdr:rowOff>152400</xdr:rowOff>
    </xdr:from>
    <xdr:to>
      <xdr:col>16</xdr:col>
      <xdr:colOff>323850</xdr:colOff>
      <xdr:row>4</xdr:row>
      <xdr:rowOff>219075</xdr:rowOff>
    </xdr:to>
    <xdr:sp>
      <xdr:nvSpPr>
        <xdr:cNvPr id="5" name="Comment 5" hidden="1"/>
        <xdr:cNvSpPr>
          <a:spLocks/>
        </xdr:cNvSpPr>
      </xdr:nvSpPr>
      <xdr:spPr>
        <a:xfrm>
          <a:off x="4238625" y="990600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15</xdr:col>
      <xdr:colOff>28575</xdr:colOff>
      <xdr:row>32</xdr:row>
      <xdr:rowOff>161925</xdr:rowOff>
    </xdr:from>
    <xdr:to>
      <xdr:col>17</xdr:col>
      <xdr:colOff>409575</xdr:colOff>
      <xdr:row>33</xdr:row>
      <xdr:rowOff>228600</xdr:rowOff>
    </xdr:to>
    <xdr:sp>
      <xdr:nvSpPr>
        <xdr:cNvPr id="6" name="Comment 6" hidden="1"/>
        <xdr:cNvSpPr>
          <a:spLocks/>
        </xdr:cNvSpPr>
      </xdr:nvSpPr>
      <xdr:spPr>
        <a:xfrm>
          <a:off x="4552950" y="7800975"/>
          <a:ext cx="114300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16</xdr:col>
      <xdr:colOff>142875</xdr:colOff>
      <xdr:row>32</xdr:row>
      <xdr:rowOff>161925</xdr:rowOff>
    </xdr:from>
    <xdr:to>
      <xdr:col>18</xdr:col>
      <xdr:colOff>381000</xdr:colOff>
      <xdr:row>33</xdr:row>
      <xdr:rowOff>228600</xdr:rowOff>
    </xdr:to>
    <xdr:sp>
      <xdr:nvSpPr>
        <xdr:cNvPr id="7" name="Comment 7" hidden="1"/>
        <xdr:cNvSpPr>
          <a:spLocks/>
        </xdr:cNvSpPr>
      </xdr:nvSpPr>
      <xdr:spPr>
        <a:xfrm>
          <a:off x="4981575" y="7800975"/>
          <a:ext cx="11334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4</xdr:col>
      <xdr:colOff>123825</xdr:colOff>
      <xdr:row>47</xdr:row>
      <xdr:rowOff>133350</xdr:rowOff>
    </xdr:from>
    <xdr:to>
      <xdr:col>6</xdr:col>
      <xdr:colOff>142875</xdr:colOff>
      <xdr:row>48</xdr:row>
      <xdr:rowOff>219075</xdr:rowOff>
    </xdr:to>
    <xdr:sp>
      <xdr:nvSpPr>
        <xdr:cNvPr id="8" name="Comment 8" hidden="1"/>
        <xdr:cNvSpPr>
          <a:spLocks/>
        </xdr:cNvSpPr>
      </xdr:nvSpPr>
      <xdr:spPr>
        <a:xfrm>
          <a:off x="1190625" y="11487150"/>
          <a:ext cx="5810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vítězové
skupin</a:t>
          </a:r>
        </a:p>
      </xdr:txBody>
    </xdr:sp>
    <xdr:clientData/>
  </xdr:twoCellAnchor>
  <xdr:twoCellAnchor editAs="absolute">
    <xdr:from>
      <xdr:col>4</xdr:col>
      <xdr:colOff>114300</xdr:colOff>
      <xdr:row>51</xdr:row>
      <xdr:rowOff>171450</xdr:rowOff>
    </xdr:from>
    <xdr:to>
      <xdr:col>7</xdr:col>
      <xdr:colOff>400050</xdr:colOff>
      <xdr:row>54</xdr:row>
      <xdr:rowOff>133350</xdr:rowOff>
    </xdr:to>
    <xdr:sp>
      <xdr:nvSpPr>
        <xdr:cNvPr id="9" name="Comment 9" hidden="1"/>
        <xdr:cNvSpPr>
          <a:spLocks/>
        </xdr:cNvSpPr>
      </xdr:nvSpPr>
      <xdr:spPr>
        <a:xfrm>
          <a:off x="1181100" y="12515850"/>
          <a:ext cx="1295400" cy="5143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skupina
druhých družstev
ze základních skupin</a:t>
          </a:r>
        </a:p>
      </xdr:txBody>
    </xdr:sp>
    <xdr:clientData/>
  </xdr:twoCellAnchor>
  <xdr:twoCellAnchor editAs="absolute">
    <xdr:from>
      <xdr:col>4</xdr:col>
      <xdr:colOff>114300</xdr:colOff>
      <xdr:row>56</xdr:row>
      <xdr:rowOff>171450</xdr:rowOff>
    </xdr:from>
    <xdr:to>
      <xdr:col>7</xdr:col>
      <xdr:colOff>400050</xdr:colOff>
      <xdr:row>59</xdr:row>
      <xdr:rowOff>133350</xdr:rowOff>
    </xdr:to>
    <xdr:sp>
      <xdr:nvSpPr>
        <xdr:cNvPr id="10" name="Comment 10" hidden="1"/>
        <xdr:cNvSpPr>
          <a:spLocks/>
        </xdr:cNvSpPr>
      </xdr:nvSpPr>
      <xdr:spPr>
        <a:xfrm>
          <a:off x="1181100" y="13563600"/>
          <a:ext cx="1295400" cy="5143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skupina
třetích družstev
ze základních skupin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3</xdr:row>
      <xdr:rowOff>152400</xdr:rowOff>
    </xdr:from>
    <xdr:to>
      <xdr:col>12</xdr:col>
      <xdr:colOff>0</xdr:colOff>
      <xdr:row>4</xdr:row>
      <xdr:rowOff>219075</xdr:rowOff>
    </xdr:to>
    <xdr:sp>
      <xdr:nvSpPr>
        <xdr:cNvPr id="1" name="Comment 1" hidden="1"/>
        <xdr:cNvSpPr>
          <a:spLocks/>
        </xdr:cNvSpPr>
      </xdr:nvSpPr>
      <xdr:spPr>
        <a:xfrm>
          <a:off x="2724150" y="990600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20</xdr:col>
      <xdr:colOff>114300</xdr:colOff>
      <xdr:row>3</xdr:row>
      <xdr:rowOff>152400</xdr:rowOff>
    </xdr:from>
    <xdr:to>
      <xdr:col>21</xdr:col>
      <xdr:colOff>95250</xdr:colOff>
      <xdr:row>4</xdr:row>
      <xdr:rowOff>219075</xdr:rowOff>
    </xdr:to>
    <xdr:sp>
      <xdr:nvSpPr>
        <xdr:cNvPr id="2" name="Comment 2" hidden="1"/>
        <xdr:cNvSpPr>
          <a:spLocks/>
        </xdr:cNvSpPr>
      </xdr:nvSpPr>
      <xdr:spPr>
        <a:xfrm>
          <a:off x="7067550" y="990600"/>
          <a:ext cx="5905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16</xdr:col>
      <xdr:colOff>314325</xdr:colOff>
      <xdr:row>9</xdr:row>
      <xdr:rowOff>180975</xdr:rowOff>
    </xdr:from>
    <xdr:to>
      <xdr:col>18</xdr:col>
      <xdr:colOff>561975</xdr:colOff>
      <xdr:row>11</xdr:row>
      <xdr:rowOff>19050</xdr:rowOff>
    </xdr:to>
    <xdr:sp>
      <xdr:nvSpPr>
        <xdr:cNvPr id="3" name="Comment 3" hidden="1"/>
        <xdr:cNvSpPr>
          <a:spLocks/>
        </xdr:cNvSpPr>
      </xdr:nvSpPr>
      <xdr:spPr>
        <a:xfrm>
          <a:off x="5153025" y="2505075"/>
          <a:ext cx="11430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114300</xdr:colOff>
      <xdr:row>9</xdr:row>
      <xdr:rowOff>180975</xdr:rowOff>
    </xdr:from>
    <xdr:to>
      <xdr:col>20</xdr:col>
      <xdr:colOff>28575</xdr:colOff>
      <xdr:row>11</xdr:row>
      <xdr:rowOff>19050</xdr:rowOff>
    </xdr:to>
    <xdr:sp>
      <xdr:nvSpPr>
        <xdr:cNvPr id="4" name="Comment 4" hidden="1"/>
        <xdr:cNvSpPr>
          <a:spLocks/>
        </xdr:cNvSpPr>
      </xdr:nvSpPr>
      <xdr:spPr>
        <a:xfrm>
          <a:off x="5848350" y="2505075"/>
          <a:ext cx="11334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13</xdr:col>
      <xdr:colOff>142875</xdr:colOff>
      <xdr:row>3</xdr:row>
      <xdr:rowOff>152400</xdr:rowOff>
    </xdr:from>
    <xdr:to>
      <xdr:col>16</xdr:col>
      <xdr:colOff>323850</xdr:colOff>
      <xdr:row>4</xdr:row>
      <xdr:rowOff>219075</xdr:rowOff>
    </xdr:to>
    <xdr:sp>
      <xdr:nvSpPr>
        <xdr:cNvPr id="5" name="Comment 5" hidden="1"/>
        <xdr:cNvSpPr>
          <a:spLocks/>
        </xdr:cNvSpPr>
      </xdr:nvSpPr>
      <xdr:spPr>
        <a:xfrm>
          <a:off x="4238625" y="990600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15</xdr:col>
      <xdr:colOff>28575</xdr:colOff>
      <xdr:row>32</xdr:row>
      <xdr:rowOff>161925</xdr:rowOff>
    </xdr:from>
    <xdr:to>
      <xdr:col>17</xdr:col>
      <xdr:colOff>409575</xdr:colOff>
      <xdr:row>33</xdr:row>
      <xdr:rowOff>228600</xdr:rowOff>
    </xdr:to>
    <xdr:sp>
      <xdr:nvSpPr>
        <xdr:cNvPr id="6" name="Comment 6" hidden="1"/>
        <xdr:cNvSpPr>
          <a:spLocks/>
        </xdr:cNvSpPr>
      </xdr:nvSpPr>
      <xdr:spPr>
        <a:xfrm>
          <a:off x="4552950" y="7800975"/>
          <a:ext cx="114300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16</xdr:col>
      <xdr:colOff>142875</xdr:colOff>
      <xdr:row>32</xdr:row>
      <xdr:rowOff>161925</xdr:rowOff>
    </xdr:from>
    <xdr:to>
      <xdr:col>18</xdr:col>
      <xdr:colOff>381000</xdr:colOff>
      <xdr:row>33</xdr:row>
      <xdr:rowOff>228600</xdr:rowOff>
    </xdr:to>
    <xdr:sp>
      <xdr:nvSpPr>
        <xdr:cNvPr id="7" name="Comment 7" hidden="1"/>
        <xdr:cNvSpPr>
          <a:spLocks/>
        </xdr:cNvSpPr>
      </xdr:nvSpPr>
      <xdr:spPr>
        <a:xfrm>
          <a:off x="4981575" y="7800975"/>
          <a:ext cx="11334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7</xdr:col>
      <xdr:colOff>114300</xdr:colOff>
      <xdr:row>37</xdr:row>
      <xdr:rowOff>123825</xdr:rowOff>
    </xdr:from>
    <xdr:to>
      <xdr:col>12</xdr:col>
      <xdr:colOff>171450</xdr:colOff>
      <xdr:row>39</xdr:row>
      <xdr:rowOff>133350</xdr:rowOff>
    </xdr:to>
    <xdr:sp>
      <xdr:nvSpPr>
        <xdr:cNvPr id="8" name="Comment 8" hidden="1"/>
        <xdr:cNvSpPr>
          <a:spLocks/>
        </xdr:cNvSpPr>
      </xdr:nvSpPr>
      <xdr:spPr>
        <a:xfrm>
          <a:off x="2190750" y="9001125"/>
          <a:ext cx="1628775" cy="5048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nejlepší vítěz skupiny
proti
nejlepšímu z druhých míst</a:t>
          </a:r>
        </a:p>
      </xdr:txBody>
    </xdr:sp>
    <xdr:clientData/>
  </xdr:twoCellAnchor>
  <xdr:twoCellAnchor editAs="absolute">
    <xdr:from>
      <xdr:col>7</xdr:col>
      <xdr:colOff>114300</xdr:colOff>
      <xdr:row>38</xdr:row>
      <xdr:rowOff>123825</xdr:rowOff>
    </xdr:from>
    <xdr:to>
      <xdr:col>13</xdr:col>
      <xdr:colOff>133350</xdr:colOff>
      <xdr:row>40</xdr:row>
      <xdr:rowOff>133350</xdr:rowOff>
    </xdr:to>
    <xdr:sp>
      <xdr:nvSpPr>
        <xdr:cNvPr id="9" name="Comment 9" hidden="1"/>
        <xdr:cNvSpPr>
          <a:spLocks/>
        </xdr:cNvSpPr>
      </xdr:nvSpPr>
      <xdr:spPr>
        <a:xfrm>
          <a:off x="2190750" y="9248775"/>
          <a:ext cx="2038350" cy="5048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druhý nejlepší vítěz skupiny
proti
třetímu nejlepšímu vítězi skupiny</a:t>
          </a:r>
        </a:p>
      </xdr:txBody>
    </xdr:sp>
    <xdr:clientData/>
  </xdr:twoCellAnchor>
  <xdr:twoCellAnchor editAs="absolute">
    <xdr:from>
      <xdr:col>7</xdr:col>
      <xdr:colOff>123825</xdr:colOff>
      <xdr:row>39</xdr:row>
      <xdr:rowOff>133350</xdr:rowOff>
    </xdr:from>
    <xdr:to>
      <xdr:col>9</xdr:col>
      <xdr:colOff>371475</xdr:colOff>
      <xdr:row>40</xdr:row>
      <xdr:rowOff>219075</xdr:rowOff>
    </xdr:to>
    <xdr:sp>
      <xdr:nvSpPr>
        <xdr:cNvPr id="10" name="Comment 10" hidden="1"/>
        <xdr:cNvSpPr>
          <a:spLocks/>
        </xdr:cNvSpPr>
      </xdr:nvSpPr>
      <xdr:spPr>
        <a:xfrm>
          <a:off x="2200275" y="9505950"/>
          <a:ext cx="8096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poražení
semifinalisté</a:t>
          </a:r>
        </a:p>
      </xdr:txBody>
    </xdr:sp>
    <xdr:clientData/>
  </xdr:twoCellAnchor>
  <xdr:twoCellAnchor editAs="absolute">
    <xdr:from>
      <xdr:col>7</xdr:col>
      <xdr:colOff>123825</xdr:colOff>
      <xdr:row>40</xdr:row>
      <xdr:rowOff>133350</xdr:rowOff>
    </xdr:from>
    <xdr:to>
      <xdr:col>9</xdr:col>
      <xdr:colOff>228600</xdr:colOff>
      <xdr:row>41</xdr:row>
      <xdr:rowOff>219075</xdr:rowOff>
    </xdr:to>
    <xdr:sp>
      <xdr:nvSpPr>
        <xdr:cNvPr id="11" name="Comment 11" hidden="1"/>
        <xdr:cNvSpPr>
          <a:spLocks/>
        </xdr:cNvSpPr>
      </xdr:nvSpPr>
      <xdr:spPr>
        <a:xfrm>
          <a:off x="2200275" y="9753600"/>
          <a:ext cx="6667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vítězové
semifinále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85725</xdr:colOff>
      <xdr:row>2</xdr:row>
      <xdr:rowOff>133350</xdr:rowOff>
    </xdr:from>
    <xdr:to>
      <xdr:col>15</xdr:col>
      <xdr:colOff>0</xdr:colOff>
      <xdr:row>3</xdr:row>
      <xdr:rowOff>200025</xdr:rowOff>
    </xdr:to>
    <xdr:sp>
      <xdr:nvSpPr>
        <xdr:cNvPr id="1" name="Comment 1" hidden="1"/>
        <xdr:cNvSpPr>
          <a:spLocks/>
        </xdr:cNvSpPr>
      </xdr:nvSpPr>
      <xdr:spPr>
        <a:xfrm>
          <a:off x="3733800" y="771525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18</xdr:col>
      <xdr:colOff>85725</xdr:colOff>
      <xdr:row>2</xdr:row>
      <xdr:rowOff>133350</xdr:rowOff>
    </xdr:from>
    <xdr:to>
      <xdr:col>19</xdr:col>
      <xdr:colOff>361950</xdr:colOff>
      <xdr:row>3</xdr:row>
      <xdr:rowOff>200025</xdr:rowOff>
    </xdr:to>
    <xdr:sp>
      <xdr:nvSpPr>
        <xdr:cNvPr id="2" name="Comment 2" hidden="1"/>
        <xdr:cNvSpPr>
          <a:spLocks/>
        </xdr:cNvSpPr>
      </xdr:nvSpPr>
      <xdr:spPr>
        <a:xfrm>
          <a:off x="5619750" y="771525"/>
          <a:ext cx="5905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17</xdr:col>
      <xdr:colOff>28575</xdr:colOff>
      <xdr:row>7</xdr:row>
      <xdr:rowOff>180975</xdr:rowOff>
    </xdr:from>
    <xdr:to>
      <xdr:col>20</xdr:col>
      <xdr:colOff>295275</xdr:colOff>
      <xdr:row>9</xdr:row>
      <xdr:rowOff>19050</xdr:rowOff>
    </xdr:to>
    <xdr:sp>
      <xdr:nvSpPr>
        <xdr:cNvPr id="3" name="Comment 3" hidden="1"/>
        <xdr:cNvSpPr>
          <a:spLocks/>
        </xdr:cNvSpPr>
      </xdr:nvSpPr>
      <xdr:spPr>
        <a:xfrm>
          <a:off x="5448300" y="2057400"/>
          <a:ext cx="11430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85725</xdr:colOff>
      <xdr:row>7</xdr:row>
      <xdr:rowOff>180975</xdr:rowOff>
    </xdr:from>
    <xdr:to>
      <xdr:col>34</xdr:col>
      <xdr:colOff>9525</xdr:colOff>
      <xdr:row>9</xdr:row>
      <xdr:rowOff>19050</xdr:rowOff>
    </xdr:to>
    <xdr:sp>
      <xdr:nvSpPr>
        <xdr:cNvPr id="4" name="Comment 4" hidden="1"/>
        <xdr:cNvSpPr>
          <a:spLocks/>
        </xdr:cNvSpPr>
      </xdr:nvSpPr>
      <xdr:spPr>
        <a:xfrm>
          <a:off x="5619750" y="2057400"/>
          <a:ext cx="11334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37</xdr:col>
      <xdr:colOff>228600</xdr:colOff>
      <xdr:row>20</xdr:row>
      <xdr:rowOff>57150</xdr:rowOff>
    </xdr:from>
    <xdr:to>
      <xdr:col>38</xdr:col>
      <xdr:colOff>95250</xdr:colOff>
      <xdr:row>21</xdr:row>
      <xdr:rowOff>0</xdr:rowOff>
    </xdr:to>
    <xdr:sp>
      <xdr:nvSpPr>
        <xdr:cNvPr id="5" name="Comment 5" hidden="1"/>
        <xdr:cNvSpPr>
          <a:spLocks/>
        </xdr:cNvSpPr>
      </xdr:nvSpPr>
      <xdr:spPr>
        <a:xfrm>
          <a:off x="8801100" y="5686425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37</xdr:col>
      <xdr:colOff>228600</xdr:colOff>
      <xdr:row>20</xdr:row>
      <xdr:rowOff>257175</xdr:rowOff>
    </xdr:from>
    <xdr:to>
      <xdr:col>38</xdr:col>
      <xdr:colOff>352425</xdr:colOff>
      <xdr:row>22</xdr:row>
      <xdr:rowOff>0</xdr:rowOff>
    </xdr:to>
    <xdr:sp>
      <xdr:nvSpPr>
        <xdr:cNvPr id="6" name="Comment 6" hidden="1"/>
        <xdr:cNvSpPr>
          <a:spLocks/>
        </xdr:cNvSpPr>
      </xdr:nvSpPr>
      <xdr:spPr>
        <a:xfrm>
          <a:off x="8801100" y="5886450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1. párového</a:t>
          </a:r>
        </a:p>
      </xdr:txBody>
    </xdr:sp>
    <xdr:clientData/>
  </xdr:twoCellAnchor>
  <xdr:twoCellAnchor editAs="absolute">
    <xdr:from>
      <xdr:col>37</xdr:col>
      <xdr:colOff>228600</xdr:colOff>
      <xdr:row>21</xdr:row>
      <xdr:rowOff>76200</xdr:rowOff>
    </xdr:from>
    <xdr:to>
      <xdr:col>38</xdr:col>
      <xdr:colOff>352425</xdr:colOff>
      <xdr:row>23</xdr:row>
      <xdr:rowOff>0</xdr:rowOff>
    </xdr:to>
    <xdr:sp>
      <xdr:nvSpPr>
        <xdr:cNvPr id="7" name="Comment 7" hidden="1"/>
        <xdr:cNvSpPr>
          <a:spLocks/>
        </xdr:cNvSpPr>
      </xdr:nvSpPr>
      <xdr:spPr>
        <a:xfrm>
          <a:off x="8801100" y="6086475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2. párového</a:t>
          </a:r>
        </a:p>
      </xdr:txBody>
    </xdr:sp>
    <xdr:clientData/>
  </xdr:twoCellAnchor>
  <xdr:twoCellAnchor editAs="absolute">
    <xdr:from>
      <xdr:col>37</xdr:col>
      <xdr:colOff>228600</xdr:colOff>
      <xdr:row>22</xdr:row>
      <xdr:rowOff>76200</xdr:rowOff>
    </xdr:from>
    <xdr:to>
      <xdr:col>38</xdr:col>
      <xdr:colOff>152400</xdr:colOff>
      <xdr:row>24</xdr:row>
      <xdr:rowOff>0</xdr:rowOff>
    </xdr:to>
    <xdr:sp>
      <xdr:nvSpPr>
        <xdr:cNvPr id="8" name="Comment 8" hidden="1"/>
        <xdr:cNvSpPr>
          <a:spLocks/>
        </xdr:cNvSpPr>
      </xdr:nvSpPr>
      <xdr:spPr>
        <a:xfrm>
          <a:off x="8801100" y="6286500"/>
          <a:ext cx="5334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(utkání)</a:t>
          </a:r>
        </a:p>
      </xdr:txBody>
    </xdr:sp>
    <xdr:clientData/>
  </xdr:twoCellAnchor>
  <xdr:twoCellAnchor editAs="absolute">
    <xdr:from>
      <xdr:col>37</xdr:col>
      <xdr:colOff>228600</xdr:colOff>
      <xdr:row>23</xdr:row>
      <xdr:rowOff>76200</xdr:rowOff>
    </xdr:from>
    <xdr:to>
      <xdr:col>38</xdr:col>
      <xdr:colOff>57150</xdr:colOff>
      <xdr:row>25</xdr:row>
      <xdr:rowOff>0</xdr:rowOff>
    </xdr:to>
    <xdr:sp>
      <xdr:nvSpPr>
        <xdr:cNvPr id="9" name="Comment 9" hidden="1"/>
        <xdr:cNvSpPr>
          <a:spLocks/>
        </xdr:cNvSpPr>
      </xdr:nvSpPr>
      <xdr:spPr>
        <a:xfrm>
          <a:off x="8801100" y="6486525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
utkání</a:t>
          </a:r>
        </a:p>
      </xdr:txBody>
    </xdr:sp>
    <xdr:clientData/>
  </xdr:twoCellAnchor>
  <xdr:twoCellAnchor editAs="absolute">
    <xdr:from>
      <xdr:col>37</xdr:col>
      <xdr:colOff>228600</xdr:colOff>
      <xdr:row>24</xdr:row>
      <xdr:rowOff>76200</xdr:rowOff>
    </xdr:from>
    <xdr:to>
      <xdr:col>38</xdr:col>
      <xdr:colOff>600075</xdr:colOff>
      <xdr:row>26</xdr:row>
      <xdr:rowOff>0</xdr:rowOff>
    </xdr:to>
    <xdr:sp>
      <xdr:nvSpPr>
        <xdr:cNvPr id="10" name="Comment 10" hidden="1"/>
        <xdr:cNvSpPr>
          <a:spLocks/>
        </xdr:cNvSpPr>
      </xdr:nvSpPr>
      <xdr:spPr>
        <a:xfrm>
          <a:off x="8801100" y="668655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</a:t>
          </a:r>
        </a:p>
      </xdr:txBody>
    </xdr:sp>
    <xdr:clientData/>
  </xdr:twoCellAnchor>
  <xdr:twoCellAnchor editAs="absolute">
    <xdr:from>
      <xdr:col>37</xdr:col>
      <xdr:colOff>571500</xdr:colOff>
      <xdr:row>20</xdr:row>
      <xdr:rowOff>38100</xdr:rowOff>
    </xdr:from>
    <xdr:to>
      <xdr:col>39</xdr:col>
      <xdr:colOff>333375</xdr:colOff>
      <xdr:row>20</xdr:row>
      <xdr:rowOff>361950</xdr:rowOff>
    </xdr:to>
    <xdr:sp>
      <xdr:nvSpPr>
        <xdr:cNvPr id="11" name="Comment 11" hidden="1"/>
        <xdr:cNvSpPr>
          <a:spLocks/>
        </xdr:cNvSpPr>
      </xdr:nvSpPr>
      <xdr:spPr>
        <a:xfrm>
          <a:off x="9144000" y="566737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37</xdr:col>
      <xdr:colOff>571500</xdr:colOff>
      <xdr:row>20</xdr:row>
      <xdr:rowOff>238125</xdr:rowOff>
    </xdr:from>
    <xdr:to>
      <xdr:col>39</xdr:col>
      <xdr:colOff>333375</xdr:colOff>
      <xdr:row>21</xdr:row>
      <xdr:rowOff>180975</xdr:rowOff>
    </xdr:to>
    <xdr:sp>
      <xdr:nvSpPr>
        <xdr:cNvPr id="12" name="Comment 12" hidden="1"/>
        <xdr:cNvSpPr>
          <a:spLocks/>
        </xdr:cNvSpPr>
      </xdr:nvSpPr>
      <xdr:spPr>
        <a:xfrm>
          <a:off x="9144000" y="58674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38</xdr:col>
      <xdr:colOff>161925</xdr:colOff>
      <xdr:row>20</xdr:row>
      <xdr:rowOff>57150</xdr:rowOff>
    </xdr:from>
    <xdr:to>
      <xdr:col>39</xdr:col>
      <xdr:colOff>533400</xdr:colOff>
      <xdr:row>21</xdr:row>
      <xdr:rowOff>0</xdr:rowOff>
    </xdr:to>
    <xdr:sp>
      <xdr:nvSpPr>
        <xdr:cNvPr id="13" name="Comment 13" hidden="1"/>
        <xdr:cNvSpPr>
          <a:spLocks/>
        </xdr:cNvSpPr>
      </xdr:nvSpPr>
      <xdr:spPr>
        <a:xfrm>
          <a:off x="9344025" y="5686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38</xdr:col>
      <xdr:colOff>161925</xdr:colOff>
      <xdr:row>20</xdr:row>
      <xdr:rowOff>257175</xdr:rowOff>
    </xdr:from>
    <xdr:to>
      <xdr:col>39</xdr:col>
      <xdr:colOff>533400</xdr:colOff>
      <xdr:row>22</xdr:row>
      <xdr:rowOff>0</xdr:rowOff>
    </xdr:to>
    <xdr:sp>
      <xdr:nvSpPr>
        <xdr:cNvPr id="14" name="Comment 14" hidden="1"/>
        <xdr:cNvSpPr>
          <a:spLocks/>
        </xdr:cNvSpPr>
      </xdr:nvSpPr>
      <xdr:spPr>
        <a:xfrm>
          <a:off x="9344025" y="588645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37</xdr:col>
      <xdr:colOff>590550</xdr:colOff>
      <xdr:row>21</xdr:row>
      <xdr:rowOff>76200</xdr:rowOff>
    </xdr:from>
    <xdr:to>
      <xdr:col>40</xdr:col>
      <xdr:colOff>180975</xdr:colOff>
      <xdr:row>23</xdr:row>
      <xdr:rowOff>0</xdr:rowOff>
    </xdr:to>
    <xdr:sp>
      <xdr:nvSpPr>
        <xdr:cNvPr id="15" name="Comment 15" hidden="1"/>
        <xdr:cNvSpPr>
          <a:spLocks/>
        </xdr:cNvSpPr>
      </xdr:nvSpPr>
      <xdr:spPr>
        <a:xfrm>
          <a:off x="9163050" y="608647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37</xdr:col>
      <xdr:colOff>590550</xdr:colOff>
      <xdr:row>22</xdr:row>
      <xdr:rowOff>76200</xdr:rowOff>
    </xdr:from>
    <xdr:to>
      <xdr:col>40</xdr:col>
      <xdr:colOff>180975</xdr:colOff>
      <xdr:row>24</xdr:row>
      <xdr:rowOff>0</xdr:rowOff>
    </xdr:to>
    <xdr:sp>
      <xdr:nvSpPr>
        <xdr:cNvPr id="16" name="Comment 16" hidden="1"/>
        <xdr:cNvSpPr>
          <a:spLocks/>
        </xdr:cNvSpPr>
      </xdr:nvSpPr>
      <xdr:spPr>
        <a:xfrm>
          <a:off x="9163050" y="6286500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vyššího párového pořadí</a:t>
          </a:r>
        </a:p>
      </xdr:txBody>
    </xdr:sp>
    <xdr:clientData/>
  </xdr:twoCellAnchor>
  <xdr:twoCellAnchor editAs="absolute">
    <xdr:from>
      <xdr:col>37</xdr:col>
      <xdr:colOff>590550</xdr:colOff>
      <xdr:row>23</xdr:row>
      <xdr:rowOff>76200</xdr:rowOff>
    </xdr:from>
    <xdr:to>
      <xdr:col>40</xdr:col>
      <xdr:colOff>200025</xdr:colOff>
      <xdr:row>25</xdr:row>
      <xdr:rowOff>152400</xdr:rowOff>
    </xdr:to>
    <xdr:sp>
      <xdr:nvSpPr>
        <xdr:cNvPr id="17" name="Comment 17" hidden="1"/>
        <xdr:cNvSpPr>
          <a:spLocks/>
        </xdr:cNvSpPr>
      </xdr:nvSpPr>
      <xdr:spPr>
        <a:xfrm>
          <a:off x="9163050" y="6486525"/>
          <a:ext cx="14382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38</xdr:col>
      <xdr:colOff>161925</xdr:colOff>
      <xdr:row>21</xdr:row>
      <xdr:rowOff>76200</xdr:rowOff>
    </xdr:from>
    <xdr:to>
      <xdr:col>40</xdr:col>
      <xdr:colOff>361950</xdr:colOff>
      <xdr:row>23</xdr:row>
      <xdr:rowOff>0</xdr:rowOff>
    </xdr:to>
    <xdr:sp>
      <xdr:nvSpPr>
        <xdr:cNvPr id="18" name="Comment 18" hidden="1"/>
        <xdr:cNvSpPr>
          <a:spLocks/>
        </xdr:cNvSpPr>
      </xdr:nvSpPr>
      <xdr:spPr>
        <a:xfrm>
          <a:off x="9344025" y="608647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38</xdr:col>
      <xdr:colOff>161925</xdr:colOff>
      <xdr:row>22</xdr:row>
      <xdr:rowOff>76200</xdr:rowOff>
    </xdr:from>
    <xdr:to>
      <xdr:col>40</xdr:col>
      <xdr:colOff>323850</xdr:colOff>
      <xdr:row>24</xdr:row>
      <xdr:rowOff>0</xdr:rowOff>
    </xdr:to>
    <xdr:sp>
      <xdr:nvSpPr>
        <xdr:cNvPr id="19" name="Comment 19" hidden="1"/>
        <xdr:cNvSpPr>
          <a:spLocks/>
        </xdr:cNvSpPr>
      </xdr:nvSpPr>
      <xdr:spPr>
        <a:xfrm>
          <a:off x="9344025" y="6286500"/>
          <a:ext cx="13811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nižšího párového pořadí</a:t>
          </a:r>
        </a:p>
      </xdr:txBody>
    </xdr:sp>
    <xdr:clientData/>
  </xdr:twoCellAnchor>
  <xdr:twoCellAnchor editAs="absolute">
    <xdr:from>
      <xdr:col>38</xdr:col>
      <xdr:colOff>161925</xdr:colOff>
      <xdr:row>23</xdr:row>
      <xdr:rowOff>76200</xdr:rowOff>
    </xdr:from>
    <xdr:to>
      <xdr:col>40</xdr:col>
      <xdr:colOff>342900</xdr:colOff>
      <xdr:row>25</xdr:row>
      <xdr:rowOff>152400</xdr:rowOff>
    </xdr:to>
    <xdr:sp>
      <xdr:nvSpPr>
        <xdr:cNvPr id="20" name="Comment 20" hidden="1"/>
        <xdr:cNvSpPr>
          <a:spLocks/>
        </xdr:cNvSpPr>
      </xdr:nvSpPr>
      <xdr:spPr>
        <a:xfrm>
          <a:off x="9344025" y="6486525"/>
          <a:ext cx="14001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nižšího párového pořadí</a:t>
          </a:r>
        </a:p>
      </xdr:txBody>
    </xdr:sp>
    <xdr:clientData/>
  </xdr:twoCellAnchor>
  <xdr:twoCellAnchor editAs="absolute">
    <xdr:from>
      <xdr:col>38</xdr:col>
      <xdr:colOff>323850</xdr:colOff>
      <xdr:row>20</xdr:row>
      <xdr:rowOff>38100</xdr:rowOff>
    </xdr:from>
    <xdr:to>
      <xdr:col>39</xdr:col>
      <xdr:colOff>152400</xdr:colOff>
      <xdr:row>20</xdr:row>
      <xdr:rowOff>361950</xdr:rowOff>
    </xdr:to>
    <xdr:sp>
      <xdr:nvSpPr>
        <xdr:cNvPr id="21" name="Comment 21" hidden="1"/>
        <xdr:cNvSpPr>
          <a:spLocks/>
        </xdr:cNvSpPr>
      </xdr:nvSpPr>
      <xdr:spPr>
        <a:xfrm>
          <a:off x="9505950" y="5667375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38</xdr:col>
      <xdr:colOff>342900</xdr:colOff>
      <xdr:row>20</xdr:row>
      <xdr:rowOff>257175</xdr:rowOff>
    </xdr:from>
    <xdr:to>
      <xdr:col>40</xdr:col>
      <xdr:colOff>66675</xdr:colOff>
      <xdr:row>22</xdr:row>
      <xdr:rowOff>0</xdr:rowOff>
    </xdr:to>
    <xdr:sp>
      <xdr:nvSpPr>
        <xdr:cNvPr id="22" name="Comment 22" hidden="1"/>
        <xdr:cNvSpPr>
          <a:spLocks/>
        </xdr:cNvSpPr>
      </xdr:nvSpPr>
      <xdr:spPr>
        <a:xfrm>
          <a:off x="9525000" y="5886450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38</xdr:col>
      <xdr:colOff>342900</xdr:colOff>
      <xdr:row>21</xdr:row>
      <xdr:rowOff>76200</xdr:rowOff>
    </xdr:from>
    <xdr:to>
      <xdr:col>40</xdr:col>
      <xdr:colOff>66675</xdr:colOff>
      <xdr:row>23</xdr:row>
      <xdr:rowOff>0</xdr:rowOff>
    </xdr:to>
    <xdr:sp>
      <xdr:nvSpPr>
        <xdr:cNvPr id="23" name="Comment 23" hidden="1"/>
        <xdr:cNvSpPr>
          <a:spLocks/>
        </xdr:cNvSpPr>
      </xdr:nvSpPr>
      <xdr:spPr>
        <a:xfrm>
          <a:off x="9525000" y="608647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38</xdr:col>
      <xdr:colOff>342900</xdr:colOff>
      <xdr:row>22</xdr:row>
      <xdr:rowOff>76200</xdr:rowOff>
    </xdr:from>
    <xdr:to>
      <xdr:col>40</xdr:col>
      <xdr:colOff>66675</xdr:colOff>
      <xdr:row>24</xdr:row>
      <xdr:rowOff>0</xdr:rowOff>
    </xdr:to>
    <xdr:sp>
      <xdr:nvSpPr>
        <xdr:cNvPr id="24" name="Comment 24" hidden="1"/>
        <xdr:cNvSpPr>
          <a:spLocks/>
        </xdr:cNvSpPr>
      </xdr:nvSpPr>
      <xdr:spPr>
        <a:xfrm>
          <a:off x="9525000" y="6286500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38</xdr:col>
      <xdr:colOff>342900</xdr:colOff>
      <xdr:row>23</xdr:row>
      <xdr:rowOff>76200</xdr:rowOff>
    </xdr:from>
    <xdr:to>
      <xdr:col>39</xdr:col>
      <xdr:colOff>552450</xdr:colOff>
      <xdr:row>25</xdr:row>
      <xdr:rowOff>0</xdr:rowOff>
    </xdr:to>
    <xdr:sp>
      <xdr:nvSpPr>
        <xdr:cNvPr id="25" name="Comment 25" hidden="1"/>
        <xdr:cNvSpPr>
          <a:spLocks/>
        </xdr:cNvSpPr>
      </xdr:nvSpPr>
      <xdr:spPr>
        <a:xfrm>
          <a:off x="9525000" y="6486525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23</xdr:row>
      <xdr:rowOff>76200</xdr:rowOff>
    </xdr:from>
    <xdr:to>
      <xdr:col>40</xdr:col>
      <xdr:colOff>133350</xdr:colOff>
      <xdr:row>25</xdr:row>
      <xdr:rowOff>0</xdr:rowOff>
    </xdr:to>
    <xdr:sp>
      <xdr:nvSpPr>
        <xdr:cNvPr id="26" name="Comment 26" hidden="1"/>
        <xdr:cNvSpPr>
          <a:spLocks/>
        </xdr:cNvSpPr>
      </xdr:nvSpPr>
      <xdr:spPr>
        <a:xfrm>
          <a:off x="9705975" y="6486525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1. utkání
z minitabulky</a:t>
          </a:r>
        </a:p>
      </xdr:txBody>
    </xdr:sp>
    <xdr:clientData/>
  </xdr:twoCellAnchor>
  <xdr:twoCellAnchor editAs="absolute">
    <xdr:from>
      <xdr:col>38</xdr:col>
      <xdr:colOff>342900</xdr:colOff>
      <xdr:row>24</xdr:row>
      <xdr:rowOff>76200</xdr:rowOff>
    </xdr:from>
    <xdr:to>
      <xdr:col>39</xdr:col>
      <xdr:colOff>552450</xdr:colOff>
      <xdr:row>26</xdr:row>
      <xdr:rowOff>0</xdr:rowOff>
    </xdr:to>
    <xdr:sp>
      <xdr:nvSpPr>
        <xdr:cNvPr id="27" name="Comment 27" hidden="1"/>
        <xdr:cNvSpPr>
          <a:spLocks/>
        </xdr:cNvSpPr>
      </xdr:nvSpPr>
      <xdr:spPr>
        <a:xfrm>
          <a:off x="9525000" y="66865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24</xdr:row>
      <xdr:rowOff>76200</xdr:rowOff>
    </xdr:from>
    <xdr:to>
      <xdr:col>40</xdr:col>
      <xdr:colOff>133350</xdr:colOff>
      <xdr:row>26</xdr:row>
      <xdr:rowOff>0</xdr:rowOff>
    </xdr:to>
    <xdr:sp>
      <xdr:nvSpPr>
        <xdr:cNvPr id="28" name="Comment 28" hidden="1"/>
        <xdr:cNvSpPr>
          <a:spLocks/>
        </xdr:cNvSpPr>
      </xdr:nvSpPr>
      <xdr:spPr>
        <a:xfrm>
          <a:off x="9705975" y="66865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2. utkání
z minitabulky</a:t>
          </a:r>
        </a:p>
      </xdr:txBody>
    </xdr:sp>
    <xdr:clientData/>
  </xdr:twoCellAnchor>
  <xdr:twoCellAnchor editAs="absolute">
    <xdr:from>
      <xdr:col>38</xdr:col>
      <xdr:colOff>342900</xdr:colOff>
      <xdr:row>25</xdr:row>
      <xdr:rowOff>76200</xdr:rowOff>
    </xdr:from>
    <xdr:to>
      <xdr:col>39</xdr:col>
      <xdr:colOff>552450</xdr:colOff>
      <xdr:row>27</xdr:row>
      <xdr:rowOff>0</xdr:rowOff>
    </xdr:to>
    <xdr:sp>
      <xdr:nvSpPr>
        <xdr:cNvPr id="29" name="Comment 29" hidden="1"/>
        <xdr:cNvSpPr>
          <a:spLocks/>
        </xdr:cNvSpPr>
      </xdr:nvSpPr>
      <xdr:spPr>
        <a:xfrm>
          <a:off x="9525000" y="6886575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25</xdr:row>
      <xdr:rowOff>76200</xdr:rowOff>
    </xdr:from>
    <xdr:to>
      <xdr:col>40</xdr:col>
      <xdr:colOff>133350</xdr:colOff>
      <xdr:row>27</xdr:row>
      <xdr:rowOff>0</xdr:rowOff>
    </xdr:to>
    <xdr:sp>
      <xdr:nvSpPr>
        <xdr:cNvPr id="30" name="Comment 30" hidden="1"/>
        <xdr:cNvSpPr>
          <a:spLocks/>
        </xdr:cNvSpPr>
      </xdr:nvSpPr>
      <xdr:spPr>
        <a:xfrm>
          <a:off x="9705975" y="6886575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3. utkání
z minitabulky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133350</xdr:colOff>
      <xdr:row>3</xdr:row>
      <xdr:rowOff>38100</xdr:rowOff>
    </xdr:from>
    <xdr:to>
      <xdr:col>16</xdr:col>
      <xdr:colOff>161925</xdr:colOff>
      <xdr:row>4</xdr:row>
      <xdr:rowOff>123825</xdr:rowOff>
    </xdr:to>
    <xdr:sp>
      <xdr:nvSpPr>
        <xdr:cNvPr id="1" name="Comment 2" hidden="1"/>
        <xdr:cNvSpPr>
          <a:spLocks/>
        </xdr:cNvSpPr>
      </xdr:nvSpPr>
      <xdr:spPr>
        <a:xfrm>
          <a:off x="5210175" y="771525"/>
          <a:ext cx="5905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38</xdr:col>
      <xdr:colOff>238125</xdr:colOff>
      <xdr:row>26</xdr:row>
      <xdr:rowOff>266700</xdr:rowOff>
    </xdr:from>
    <xdr:to>
      <xdr:col>39</xdr:col>
      <xdr:colOff>104775</xdr:colOff>
      <xdr:row>28</xdr:row>
      <xdr:rowOff>9525</xdr:rowOff>
    </xdr:to>
    <xdr:sp>
      <xdr:nvSpPr>
        <xdr:cNvPr id="2" name="Comment 5" hidden="1"/>
        <xdr:cNvSpPr>
          <a:spLocks/>
        </xdr:cNvSpPr>
      </xdr:nvSpPr>
      <xdr:spPr>
        <a:xfrm>
          <a:off x="8572500" y="6838950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38</xdr:col>
      <xdr:colOff>238125</xdr:colOff>
      <xdr:row>27</xdr:row>
      <xdr:rowOff>85725</xdr:rowOff>
    </xdr:from>
    <xdr:to>
      <xdr:col>39</xdr:col>
      <xdr:colOff>361950</xdr:colOff>
      <xdr:row>29</xdr:row>
      <xdr:rowOff>9525</xdr:rowOff>
    </xdr:to>
    <xdr:sp>
      <xdr:nvSpPr>
        <xdr:cNvPr id="3" name="Comment 6" hidden="1"/>
        <xdr:cNvSpPr>
          <a:spLocks/>
        </xdr:cNvSpPr>
      </xdr:nvSpPr>
      <xdr:spPr>
        <a:xfrm>
          <a:off x="8572500" y="7038975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1. párového</a:t>
          </a:r>
        </a:p>
      </xdr:txBody>
    </xdr:sp>
    <xdr:clientData/>
  </xdr:twoCellAnchor>
  <xdr:twoCellAnchor editAs="absolute">
    <xdr:from>
      <xdr:col>38</xdr:col>
      <xdr:colOff>238125</xdr:colOff>
      <xdr:row>28</xdr:row>
      <xdr:rowOff>85725</xdr:rowOff>
    </xdr:from>
    <xdr:to>
      <xdr:col>39</xdr:col>
      <xdr:colOff>361950</xdr:colOff>
      <xdr:row>30</xdr:row>
      <xdr:rowOff>9525</xdr:rowOff>
    </xdr:to>
    <xdr:sp>
      <xdr:nvSpPr>
        <xdr:cNvPr id="4" name="Comment 7" hidden="1"/>
        <xdr:cNvSpPr>
          <a:spLocks/>
        </xdr:cNvSpPr>
      </xdr:nvSpPr>
      <xdr:spPr>
        <a:xfrm>
          <a:off x="8572500" y="7239000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2. párového</a:t>
          </a:r>
        </a:p>
      </xdr:txBody>
    </xdr:sp>
    <xdr:clientData/>
  </xdr:twoCellAnchor>
  <xdr:twoCellAnchor editAs="absolute">
    <xdr:from>
      <xdr:col>38</xdr:col>
      <xdr:colOff>238125</xdr:colOff>
      <xdr:row>29</xdr:row>
      <xdr:rowOff>85725</xdr:rowOff>
    </xdr:from>
    <xdr:to>
      <xdr:col>39</xdr:col>
      <xdr:colOff>161925</xdr:colOff>
      <xdr:row>31</xdr:row>
      <xdr:rowOff>9525</xdr:rowOff>
    </xdr:to>
    <xdr:sp>
      <xdr:nvSpPr>
        <xdr:cNvPr id="5" name="Comment 8" hidden="1"/>
        <xdr:cNvSpPr>
          <a:spLocks/>
        </xdr:cNvSpPr>
      </xdr:nvSpPr>
      <xdr:spPr>
        <a:xfrm>
          <a:off x="8572500" y="7439025"/>
          <a:ext cx="5334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(utkání)</a:t>
          </a:r>
        </a:p>
      </xdr:txBody>
    </xdr:sp>
    <xdr:clientData/>
  </xdr:twoCellAnchor>
  <xdr:twoCellAnchor editAs="absolute">
    <xdr:from>
      <xdr:col>38</xdr:col>
      <xdr:colOff>238125</xdr:colOff>
      <xdr:row>30</xdr:row>
      <xdr:rowOff>85725</xdr:rowOff>
    </xdr:from>
    <xdr:to>
      <xdr:col>39</xdr:col>
      <xdr:colOff>66675</xdr:colOff>
      <xdr:row>32</xdr:row>
      <xdr:rowOff>9525</xdr:rowOff>
    </xdr:to>
    <xdr:sp>
      <xdr:nvSpPr>
        <xdr:cNvPr id="6" name="Comment 9" hidden="1"/>
        <xdr:cNvSpPr>
          <a:spLocks/>
        </xdr:cNvSpPr>
      </xdr:nvSpPr>
      <xdr:spPr>
        <a:xfrm>
          <a:off x="8572500" y="7639050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
utkání</a:t>
          </a:r>
        </a:p>
      </xdr:txBody>
    </xdr:sp>
    <xdr:clientData/>
  </xdr:twoCellAnchor>
  <xdr:twoCellAnchor editAs="absolute">
    <xdr:from>
      <xdr:col>38</xdr:col>
      <xdr:colOff>238125</xdr:colOff>
      <xdr:row>31</xdr:row>
      <xdr:rowOff>85725</xdr:rowOff>
    </xdr:from>
    <xdr:to>
      <xdr:col>40</xdr:col>
      <xdr:colOff>0</xdr:colOff>
      <xdr:row>33</xdr:row>
      <xdr:rowOff>9525</xdr:rowOff>
    </xdr:to>
    <xdr:sp>
      <xdr:nvSpPr>
        <xdr:cNvPr id="7" name="Comment 10" hidden="1"/>
        <xdr:cNvSpPr>
          <a:spLocks/>
        </xdr:cNvSpPr>
      </xdr:nvSpPr>
      <xdr:spPr>
        <a:xfrm>
          <a:off x="8572500" y="783907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</a:t>
          </a:r>
        </a:p>
      </xdr:txBody>
    </xdr:sp>
    <xdr:clientData/>
  </xdr:twoCellAnchor>
  <xdr:twoCellAnchor editAs="absolute">
    <xdr:from>
      <xdr:col>38</xdr:col>
      <xdr:colOff>600075</xdr:colOff>
      <xdr:row>26</xdr:row>
      <xdr:rowOff>266700</xdr:rowOff>
    </xdr:from>
    <xdr:to>
      <xdr:col>39</xdr:col>
      <xdr:colOff>552450</xdr:colOff>
      <xdr:row>28</xdr:row>
      <xdr:rowOff>9525</xdr:rowOff>
    </xdr:to>
    <xdr:sp>
      <xdr:nvSpPr>
        <xdr:cNvPr id="8" name="Comment 11" hidden="1"/>
        <xdr:cNvSpPr>
          <a:spLocks/>
        </xdr:cNvSpPr>
      </xdr:nvSpPr>
      <xdr:spPr>
        <a:xfrm>
          <a:off x="8934450" y="6838950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1. pořadí</a:t>
          </a:r>
        </a:p>
      </xdr:txBody>
    </xdr:sp>
    <xdr:clientData/>
  </xdr:twoCellAnchor>
  <xdr:twoCellAnchor editAs="absolute">
    <xdr:from>
      <xdr:col>38</xdr:col>
      <xdr:colOff>600075</xdr:colOff>
      <xdr:row>27</xdr:row>
      <xdr:rowOff>85725</xdr:rowOff>
    </xdr:from>
    <xdr:to>
      <xdr:col>39</xdr:col>
      <xdr:colOff>552450</xdr:colOff>
      <xdr:row>29</xdr:row>
      <xdr:rowOff>9525</xdr:rowOff>
    </xdr:to>
    <xdr:sp>
      <xdr:nvSpPr>
        <xdr:cNvPr id="9" name="Comment 12" hidden="1"/>
        <xdr:cNvSpPr>
          <a:spLocks/>
        </xdr:cNvSpPr>
      </xdr:nvSpPr>
      <xdr:spPr>
        <a:xfrm>
          <a:off x="8934450" y="7038975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2. pořadí</a:t>
          </a:r>
        </a:p>
      </xdr:txBody>
    </xdr:sp>
    <xdr:clientData/>
  </xdr:twoCellAnchor>
  <xdr:twoCellAnchor editAs="absolute">
    <xdr:from>
      <xdr:col>38</xdr:col>
      <xdr:colOff>600075</xdr:colOff>
      <xdr:row>28</xdr:row>
      <xdr:rowOff>85725</xdr:rowOff>
    </xdr:from>
    <xdr:to>
      <xdr:col>39</xdr:col>
      <xdr:colOff>552450</xdr:colOff>
      <xdr:row>30</xdr:row>
      <xdr:rowOff>9525</xdr:rowOff>
    </xdr:to>
    <xdr:sp>
      <xdr:nvSpPr>
        <xdr:cNvPr id="10" name="Comment 13" hidden="1"/>
        <xdr:cNvSpPr>
          <a:spLocks/>
        </xdr:cNvSpPr>
      </xdr:nvSpPr>
      <xdr:spPr>
        <a:xfrm>
          <a:off x="8934450" y="7239000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3. pořadí</a:t>
          </a:r>
        </a:p>
      </xdr:txBody>
    </xdr:sp>
    <xdr:clientData/>
  </xdr:twoCellAnchor>
  <xdr:twoCellAnchor editAs="absolute">
    <xdr:from>
      <xdr:col>38</xdr:col>
      <xdr:colOff>600075</xdr:colOff>
      <xdr:row>29</xdr:row>
      <xdr:rowOff>85725</xdr:rowOff>
    </xdr:from>
    <xdr:to>
      <xdr:col>39</xdr:col>
      <xdr:colOff>552450</xdr:colOff>
      <xdr:row>31</xdr:row>
      <xdr:rowOff>9525</xdr:rowOff>
    </xdr:to>
    <xdr:sp>
      <xdr:nvSpPr>
        <xdr:cNvPr id="11" name="Comment 14" hidden="1"/>
        <xdr:cNvSpPr>
          <a:spLocks/>
        </xdr:cNvSpPr>
      </xdr:nvSpPr>
      <xdr:spPr>
        <a:xfrm>
          <a:off x="8934450" y="7439025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4. pořadí</a:t>
          </a:r>
        </a:p>
      </xdr:txBody>
    </xdr:sp>
    <xdr:clientData/>
  </xdr:twoCellAnchor>
  <xdr:twoCellAnchor editAs="absolute">
    <xdr:from>
      <xdr:col>39</xdr:col>
      <xdr:colOff>171450</xdr:colOff>
      <xdr:row>26</xdr:row>
      <xdr:rowOff>266700</xdr:rowOff>
    </xdr:from>
    <xdr:to>
      <xdr:col>40</xdr:col>
      <xdr:colOff>161925</xdr:colOff>
      <xdr:row>28</xdr:row>
      <xdr:rowOff>9525</xdr:rowOff>
    </xdr:to>
    <xdr:sp>
      <xdr:nvSpPr>
        <xdr:cNvPr id="12" name="Comment 16" hidden="1"/>
        <xdr:cNvSpPr>
          <a:spLocks/>
        </xdr:cNvSpPr>
      </xdr:nvSpPr>
      <xdr:spPr>
        <a:xfrm>
          <a:off x="9115425" y="6838950"/>
          <a:ext cx="600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párové
pořadí</a:t>
          </a:r>
        </a:p>
      </xdr:txBody>
    </xdr:sp>
    <xdr:clientData/>
  </xdr:twoCellAnchor>
  <xdr:twoCellAnchor editAs="absolute">
    <xdr:from>
      <xdr:col>39</xdr:col>
      <xdr:colOff>171450</xdr:colOff>
      <xdr:row>27</xdr:row>
      <xdr:rowOff>85725</xdr:rowOff>
    </xdr:from>
    <xdr:to>
      <xdr:col>40</xdr:col>
      <xdr:colOff>161925</xdr:colOff>
      <xdr:row>29</xdr:row>
      <xdr:rowOff>9525</xdr:rowOff>
    </xdr:to>
    <xdr:sp>
      <xdr:nvSpPr>
        <xdr:cNvPr id="13" name="Comment 17" hidden="1"/>
        <xdr:cNvSpPr>
          <a:spLocks/>
        </xdr:cNvSpPr>
      </xdr:nvSpPr>
      <xdr:spPr>
        <a:xfrm>
          <a:off x="9115425" y="7038975"/>
          <a:ext cx="600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párové
pořadí</a:t>
          </a:r>
        </a:p>
      </xdr:txBody>
    </xdr:sp>
    <xdr:clientData/>
  </xdr:twoCellAnchor>
  <xdr:twoCellAnchor editAs="absolute">
    <xdr:from>
      <xdr:col>38</xdr:col>
      <xdr:colOff>600075</xdr:colOff>
      <xdr:row>30</xdr:row>
      <xdr:rowOff>85725</xdr:rowOff>
    </xdr:from>
    <xdr:to>
      <xdr:col>40</xdr:col>
      <xdr:colOff>361950</xdr:colOff>
      <xdr:row>32</xdr:row>
      <xdr:rowOff>9525</xdr:rowOff>
    </xdr:to>
    <xdr:sp>
      <xdr:nvSpPr>
        <xdr:cNvPr id="14" name="Comment 18" hidden="1"/>
        <xdr:cNvSpPr>
          <a:spLocks/>
        </xdr:cNvSpPr>
      </xdr:nvSpPr>
      <xdr:spPr>
        <a:xfrm>
          <a:off x="8934450" y="763905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39</xdr:col>
      <xdr:colOff>190500</xdr:colOff>
      <xdr:row>30</xdr:row>
      <xdr:rowOff>104775</xdr:rowOff>
    </xdr:from>
    <xdr:to>
      <xdr:col>40</xdr:col>
      <xdr:colOff>561975</xdr:colOff>
      <xdr:row>32</xdr:row>
      <xdr:rowOff>28575</xdr:rowOff>
    </xdr:to>
    <xdr:sp>
      <xdr:nvSpPr>
        <xdr:cNvPr id="15" name="Comment 19" hidden="1"/>
        <xdr:cNvSpPr>
          <a:spLocks/>
        </xdr:cNvSpPr>
      </xdr:nvSpPr>
      <xdr:spPr>
        <a:xfrm>
          <a:off x="9134475" y="76581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nižšího
párového pořadí</a:t>
          </a:r>
        </a:p>
      </xdr:txBody>
    </xdr:sp>
    <xdr:clientData/>
  </xdr:twoCellAnchor>
  <xdr:twoCellAnchor editAs="absolute">
    <xdr:from>
      <xdr:col>38</xdr:col>
      <xdr:colOff>600075</xdr:colOff>
      <xdr:row>31</xdr:row>
      <xdr:rowOff>85725</xdr:rowOff>
    </xdr:from>
    <xdr:to>
      <xdr:col>40</xdr:col>
      <xdr:colOff>361950</xdr:colOff>
      <xdr:row>33</xdr:row>
      <xdr:rowOff>9525</xdr:rowOff>
    </xdr:to>
    <xdr:sp>
      <xdr:nvSpPr>
        <xdr:cNvPr id="16" name="Comment 20" hidden="1"/>
        <xdr:cNvSpPr>
          <a:spLocks/>
        </xdr:cNvSpPr>
      </xdr:nvSpPr>
      <xdr:spPr>
        <a:xfrm>
          <a:off x="8934450" y="783907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39</xdr:col>
      <xdr:colOff>190500</xdr:colOff>
      <xdr:row>31</xdr:row>
      <xdr:rowOff>104775</xdr:rowOff>
    </xdr:from>
    <xdr:to>
      <xdr:col>40</xdr:col>
      <xdr:colOff>561975</xdr:colOff>
      <xdr:row>33</xdr:row>
      <xdr:rowOff>28575</xdr:rowOff>
    </xdr:to>
    <xdr:sp>
      <xdr:nvSpPr>
        <xdr:cNvPr id="17" name="Comment 21" hidden="1"/>
        <xdr:cNvSpPr>
          <a:spLocks/>
        </xdr:cNvSpPr>
      </xdr:nvSpPr>
      <xdr:spPr>
        <a:xfrm>
          <a:off x="9134475" y="78581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nižšího
párového pořadí</a:t>
          </a:r>
        </a:p>
      </xdr:txBody>
    </xdr:sp>
    <xdr:clientData/>
  </xdr:twoCellAnchor>
  <xdr:twoCellAnchor editAs="absolute">
    <xdr:from>
      <xdr:col>39</xdr:col>
      <xdr:colOff>9525</xdr:colOff>
      <xdr:row>32</xdr:row>
      <xdr:rowOff>104775</xdr:rowOff>
    </xdr:from>
    <xdr:to>
      <xdr:col>41</xdr:col>
      <xdr:colOff>209550</xdr:colOff>
      <xdr:row>34</xdr:row>
      <xdr:rowOff>28575</xdr:rowOff>
    </xdr:to>
    <xdr:sp>
      <xdr:nvSpPr>
        <xdr:cNvPr id="18" name="Comment 22" hidden="1"/>
        <xdr:cNvSpPr>
          <a:spLocks/>
        </xdr:cNvSpPr>
      </xdr:nvSpPr>
      <xdr:spPr>
        <a:xfrm>
          <a:off x="8953500" y="8058150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39</xdr:col>
      <xdr:colOff>190500</xdr:colOff>
      <xdr:row>32</xdr:row>
      <xdr:rowOff>104775</xdr:rowOff>
    </xdr:from>
    <xdr:to>
      <xdr:col>41</xdr:col>
      <xdr:colOff>352425</xdr:colOff>
      <xdr:row>34</xdr:row>
      <xdr:rowOff>28575</xdr:rowOff>
    </xdr:to>
    <xdr:sp>
      <xdr:nvSpPr>
        <xdr:cNvPr id="19" name="Comment 24" hidden="1"/>
        <xdr:cNvSpPr>
          <a:spLocks/>
        </xdr:cNvSpPr>
      </xdr:nvSpPr>
      <xdr:spPr>
        <a:xfrm>
          <a:off x="9134475" y="8058150"/>
          <a:ext cx="13811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nižšího párového pořadí</a:t>
          </a:r>
        </a:p>
      </xdr:txBody>
    </xdr:sp>
    <xdr:clientData/>
  </xdr:twoCellAnchor>
  <xdr:twoCellAnchor editAs="absolute">
    <xdr:from>
      <xdr:col>38</xdr:col>
      <xdr:colOff>600075</xdr:colOff>
      <xdr:row>33</xdr:row>
      <xdr:rowOff>85725</xdr:rowOff>
    </xdr:from>
    <xdr:to>
      <xdr:col>41</xdr:col>
      <xdr:colOff>190500</xdr:colOff>
      <xdr:row>35</xdr:row>
      <xdr:rowOff>9525</xdr:rowOff>
    </xdr:to>
    <xdr:sp>
      <xdr:nvSpPr>
        <xdr:cNvPr id="20" name="Comment 25" hidden="1"/>
        <xdr:cNvSpPr>
          <a:spLocks/>
        </xdr:cNvSpPr>
      </xdr:nvSpPr>
      <xdr:spPr>
        <a:xfrm>
          <a:off x="8934450" y="823912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vyššího párového pořadí</a:t>
          </a:r>
        </a:p>
      </xdr:txBody>
    </xdr:sp>
    <xdr:clientData/>
  </xdr:twoCellAnchor>
  <xdr:twoCellAnchor editAs="absolute">
    <xdr:from>
      <xdr:col>39</xdr:col>
      <xdr:colOff>190500</xdr:colOff>
      <xdr:row>33</xdr:row>
      <xdr:rowOff>104775</xdr:rowOff>
    </xdr:from>
    <xdr:to>
      <xdr:col>41</xdr:col>
      <xdr:colOff>352425</xdr:colOff>
      <xdr:row>35</xdr:row>
      <xdr:rowOff>28575</xdr:rowOff>
    </xdr:to>
    <xdr:sp>
      <xdr:nvSpPr>
        <xdr:cNvPr id="21" name="Comment 26" hidden="1"/>
        <xdr:cNvSpPr>
          <a:spLocks/>
        </xdr:cNvSpPr>
      </xdr:nvSpPr>
      <xdr:spPr>
        <a:xfrm>
          <a:off x="9134475" y="8258175"/>
          <a:ext cx="13811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nižšího párového pořadí</a:t>
          </a:r>
        </a:p>
      </xdr:txBody>
    </xdr:sp>
    <xdr:clientData/>
  </xdr:twoCellAnchor>
  <xdr:twoCellAnchor editAs="absolute">
    <xdr:from>
      <xdr:col>39</xdr:col>
      <xdr:colOff>0</xdr:colOff>
      <xdr:row>34</xdr:row>
      <xdr:rowOff>95250</xdr:rowOff>
    </xdr:from>
    <xdr:to>
      <xdr:col>41</xdr:col>
      <xdr:colOff>219075</xdr:colOff>
      <xdr:row>46</xdr:row>
      <xdr:rowOff>142875</xdr:rowOff>
    </xdr:to>
    <xdr:sp>
      <xdr:nvSpPr>
        <xdr:cNvPr id="22" name="Comment 27" hidden="1"/>
        <xdr:cNvSpPr>
          <a:spLocks/>
        </xdr:cNvSpPr>
      </xdr:nvSpPr>
      <xdr:spPr>
        <a:xfrm>
          <a:off x="8943975" y="8448675"/>
          <a:ext cx="1438275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39</xdr:col>
      <xdr:colOff>190500</xdr:colOff>
      <xdr:row>34</xdr:row>
      <xdr:rowOff>104775</xdr:rowOff>
    </xdr:from>
    <xdr:to>
      <xdr:col>41</xdr:col>
      <xdr:colOff>409575</xdr:colOff>
      <xdr:row>46</xdr:row>
      <xdr:rowOff>142875</xdr:rowOff>
    </xdr:to>
    <xdr:sp>
      <xdr:nvSpPr>
        <xdr:cNvPr id="23" name="Comment 28" hidden="1"/>
        <xdr:cNvSpPr>
          <a:spLocks/>
        </xdr:cNvSpPr>
      </xdr:nvSpPr>
      <xdr:spPr>
        <a:xfrm>
          <a:off x="9134475" y="8458200"/>
          <a:ext cx="1438275" cy="4381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39</xdr:col>
      <xdr:colOff>352425</xdr:colOff>
      <xdr:row>26</xdr:row>
      <xdr:rowOff>266700</xdr:rowOff>
    </xdr:from>
    <xdr:to>
      <xdr:col>40</xdr:col>
      <xdr:colOff>180975</xdr:colOff>
      <xdr:row>28</xdr:row>
      <xdr:rowOff>9525</xdr:rowOff>
    </xdr:to>
    <xdr:sp>
      <xdr:nvSpPr>
        <xdr:cNvPr id="24" name="Comment 29" hidden="1"/>
        <xdr:cNvSpPr>
          <a:spLocks/>
        </xdr:cNvSpPr>
      </xdr:nvSpPr>
      <xdr:spPr>
        <a:xfrm>
          <a:off x="9296400" y="6838950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39</xdr:col>
      <xdr:colOff>352425</xdr:colOff>
      <xdr:row>27</xdr:row>
      <xdr:rowOff>85725</xdr:rowOff>
    </xdr:from>
    <xdr:to>
      <xdr:col>41</xdr:col>
      <xdr:colOff>76200</xdr:colOff>
      <xdr:row>29</xdr:row>
      <xdr:rowOff>9525</xdr:rowOff>
    </xdr:to>
    <xdr:sp>
      <xdr:nvSpPr>
        <xdr:cNvPr id="25" name="Comment 30" hidden="1"/>
        <xdr:cNvSpPr>
          <a:spLocks/>
        </xdr:cNvSpPr>
      </xdr:nvSpPr>
      <xdr:spPr>
        <a:xfrm>
          <a:off x="9296400" y="703897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39</xdr:col>
      <xdr:colOff>352425</xdr:colOff>
      <xdr:row>28</xdr:row>
      <xdr:rowOff>85725</xdr:rowOff>
    </xdr:from>
    <xdr:to>
      <xdr:col>41</xdr:col>
      <xdr:colOff>76200</xdr:colOff>
      <xdr:row>30</xdr:row>
      <xdr:rowOff>9525</xdr:rowOff>
    </xdr:to>
    <xdr:sp>
      <xdr:nvSpPr>
        <xdr:cNvPr id="26" name="Comment 31" hidden="1"/>
        <xdr:cNvSpPr>
          <a:spLocks/>
        </xdr:cNvSpPr>
      </xdr:nvSpPr>
      <xdr:spPr>
        <a:xfrm>
          <a:off x="9296400" y="7239000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39</xdr:col>
      <xdr:colOff>352425</xdr:colOff>
      <xdr:row>29</xdr:row>
      <xdr:rowOff>85725</xdr:rowOff>
    </xdr:from>
    <xdr:to>
      <xdr:col>41</xdr:col>
      <xdr:colOff>76200</xdr:colOff>
      <xdr:row>31</xdr:row>
      <xdr:rowOff>9525</xdr:rowOff>
    </xdr:to>
    <xdr:sp>
      <xdr:nvSpPr>
        <xdr:cNvPr id="27" name="Comment 32" hidden="1"/>
        <xdr:cNvSpPr>
          <a:spLocks/>
        </xdr:cNvSpPr>
      </xdr:nvSpPr>
      <xdr:spPr>
        <a:xfrm>
          <a:off x="9296400" y="743902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39</xdr:col>
      <xdr:colOff>352425</xdr:colOff>
      <xdr:row>30</xdr:row>
      <xdr:rowOff>85725</xdr:rowOff>
    </xdr:from>
    <xdr:to>
      <xdr:col>40</xdr:col>
      <xdr:colOff>561975</xdr:colOff>
      <xdr:row>32</xdr:row>
      <xdr:rowOff>9525</xdr:rowOff>
    </xdr:to>
    <xdr:sp>
      <xdr:nvSpPr>
        <xdr:cNvPr id="28" name="Comment 33" hidden="1"/>
        <xdr:cNvSpPr>
          <a:spLocks/>
        </xdr:cNvSpPr>
      </xdr:nvSpPr>
      <xdr:spPr>
        <a:xfrm>
          <a:off x="9296400" y="76390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39</xdr:col>
      <xdr:colOff>352425</xdr:colOff>
      <xdr:row>31</xdr:row>
      <xdr:rowOff>85725</xdr:rowOff>
    </xdr:from>
    <xdr:to>
      <xdr:col>40</xdr:col>
      <xdr:colOff>561975</xdr:colOff>
      <xdr:row>33</xdr:row>
      <xdr:rowOff>9525</xdr:rowOff>
    </xdr:to>
    <xdr:sp>
      <xdr:nvSpPr>
        <xdr:cNvPr id="29" name="Comment 34" hidden="1"/>
        <xdr:cNvSpPr>
          <a:spLocks/>
        </xdr:cNvSpPr>
      </xdr:nvSpPr>
      <xdr:spPr>
        <a:xfrm>
          <a:off x="9296400" y="7839075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39</xdr:col>
      <xdr:colOff>352425</xdr:colOff>
      <xdr:row>32</xdr:row>
      <xdr:rowOff>85725</xdr:rowOff>
    </xdr:from>
    <xdr:to>
      <xdr:col>40</xdr:col>
      <xdr:colOff>561975</xdr:colOff>
      <xdr:row>34</xdr:row>
      <xdr:rowOff>9525</xdr:rowOff>
    </xdr:to>
    <xdr:sp>
      <xdr:nvSpPr>
        <xdr:cNvPr id="30" name="Comment 35" hidden="1"/>
        <xdr:cNvSpPr>
          <a:spLocks/>
        </xdr:cNvSpPr>
      </xdr:nvSpPr>
      <xdr:spPr>
        <a:xfrm>
          <a:off x="9296400" y="803910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39</xdr:col>
      <xdr:colOff>533400</xdr:colOff>
      <xdr:row>30</xdr:row>
      <xdr:rowOff>85725</xdr:rowOff>
    </xdr:from>
    <xdr:to>
      <xdr:col>41</xdr:col>
      <xdr:colOff>142875</xdr:colOff>
      <xdr:row>32</xdr:row>
      <xdr:rowOff>9525</xdr:rowOff>
    </xdr:to>
    <xdr:sp>
      <xdr:nvSpPr>
        <xdr:cNvPr id="31" name="Comment 36" hidden="1"/>
        <xdr:cNvSpPr>
          <a:spLocks/>
        </xdr:cNvSpPr>
      </xdr:nvSpPr>
      <xdr:spPr>
        <a:xfrm>
          <a:off x="9477375" y="76390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1. utkání
z minitabulky</a:t>
          </a:r>
        </a:p>
      </xdr:txBody>
    </xdr:sp>
    <xdr:clientData/>
  </xdr:twoCellAnchor>
  <xdr:twoCellAnchor editAs="absolute">
    <xdr:from>
      <xdr:col>39</xdr:col>
      <xdr:colOff>533400</xdr:colOff>
      <xdr:row>31</xdr:row>
      <xdr:rowOff>85725</xdr:rowOff>
    </xdr:from>
    <xdr:to>
      <xdr:col>41</xdr:col>
      <xdr:colOff>142875</xdr:colOff>
      <xdr:row>33</xdr:row>
      <xdr:rowOff>9525</xdr:rowOff>
    </xdr:to>
    <xdr:sp>
      <xdr:nvSpPr>
        <xdr:cNvPr id="32" name="Comment 37" hidden="1"/>
        <xdr:cNvSpPr>
          <a:spLocks/>
        </xdr:cNvSpPr>
      </xdr:nvSpPr>
      <xdr:spPr>
        <a:xfrm>
          <a:off x="9477375" y="7839075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2. utkání
z minitabulky</a:t>
          </a:r>
        </a:p>
      </xdr:txBody>
    </xdr:sp>
    <xdr:clientData/>
  </xdr:twoCellAnchor>
  <xdr:twoCellAnchor editAs="absolute">
    <xdr:from>
      <xdr:col>39</xdr:col>
      <xdr:colOff>533400</xdr:colOff>
      <xdr:row>32</xdr:row>
      <xdr:rowOff>85725</xdr:rowOff>
    </xdr:from>
    <xdr:to>
      <xdr:col>41</xdr:col>
      <xdr:colOff>142875</xdr:colOff>
      <xdr:row>34</xdr:row>
      <xdr:rowOff>9525</xdr:rowOff>
    </xdr:to>
    <xdr:sp>
      <xdr:nvSpPr>
        <xdr:cNvPr id="33" name="Comment 38" hidden="1"/>
        <xdr:cNvSpPr>
          <a:spLocks/>
        </xdr:cNvSpPr>
      </xdr:nvSpPr>
      <xdr:spPr>
        <a:xfrm>
          <a:off x="9477375" y="803910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3. utkání
z minitabulky</a:t>
          </a:r>
        </a:p>
      </xdr:txBody>
    </xdr:sp>
    <xdr:clientData/>
  </xdr:twoCellAnchor>
  <xdr:twoCellAnchor editAs="absolute">
    <xdr:from>
      <xdr:col>40</xdr:col>
      <xdr:colOff>123825</xdr:colOff>
      <xdr:row>26</xdr:row>
      <xdr:rowOff>285750</xdr:rowOff>
    </xdr:from>
    <xdr:to>
      <xdr:col>40</xdr:col>
      <xdr:colOff>561975</xdr:colOff>
      <xdr:row>28</xdr:row>
      <xdr:rowOff>28575</xdr:rowOff>
    </xdr:to>
    <xdr:sp>
      <xdr:nvSpPr>
        <xdr:cNvPr id="34" name="Comment 39" hidden="1"/>
        <xdr:cNvSpPr>
          <a:spLocks/>
        </xdr:cNvSpPr>
      </xdr:nvSpPr>
      <xdr:spPr>
        <a:xfrm>
          <a:off x="9677400" y="6858000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38</xdr:col>
      <xdr:colOff>57150</xdr:colOff>
      <xdr:row>26</xdr:row>
      <xdr:rowOff>266700</xdr:rowOff>
    </xdr:from>
    <xdr:to>
      <xdr:col>38</xdr:col>
      <xdr:colOff>514350</xdr:colOff>
      <xdr:row>28</xdr:row>
      <xdr:rowOff>9525</xdr:rowOff>
    </xdr:to>
    <xdr:sp>
      <xdr:nvSpPr>
        <xdr:cNvPr id="35" name="Comment 40" hidden="1"/>
        <xdr:cNvSpPr>
          <a:spLocks/>
        </xdr:cNvSpPr>
      </xdr:nvSpPr>
      <xdr:spPr>
        <a:xfrm>
          <a:off x="8391525" y="6838950"/>
          <a:ext cx="4572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součet
pořadí</a:t>
          </a:r>
        </a:p>
      </xdr:txBody>
    </xdr:sp>
    <xdr:clientData/>
  </xdr:twoCellAnchor>
  <xdr:twoCellAnchor editAs="absolute">
    <xdr:from>
      <xdr:col>40</xdr:col>
      <xdr:colOff>285750</xdr:colOff>
      <xdr:row>26</xdr:row>
      <xdr:rowOff>266700</xdr:rowOff>
    </xdr:from>
    <xdr:to>
      <xdr:col>41</xdr:col>
      <xdr:colOff>152400</xdr:colOff>
      <xdr:row>28</xdr:row>
      <xdr:rowOff>9525</xdr:rowOff>
    </xdr:to>
    <xdr:sp>
      <xdr:nvSpPr>
        <xdr:cNvPr id="36" name="Comment 41" hidden="1"/>
        <xdr:cNvSpPr>
          <a:spLocks/>
        </xdr:cNvSpPr>
      </xdr:nvSpPr>
      <xdr:spPr>
        <a:xfrm>
          <a:off x="9839325" y="6838950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40</xdr:col>
      <xdr:colOff>123825</xdr:colOff>
      <xdr:row>27</xdr:row>
      <xdr:rowOff>104775</xdr:rowOff>
    </xdr:from>
    <xdr:to>
      <xdr:col>41</xdr:col>
      <xdr:colOff>457200</xdr:colOff>
      <xdr:row>29</xdr:row>
      <xdr:rowOff>28575</xdr:rowOff>
    </xdr:to>
    <xdr:sp>
      <xdr:nvSpPr>
        <xdr:cNvPr id="37" name="Comment 42" hidden="1"/>
        <xdr:cNvSpPr>
          <a:spLocks/>
        </xdr:cNvSpPr>
      </xdr:nvSpPr>
      <xdr:spPr>
        <a:xfrm>
          <a:off x="9677400" y="705802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40</xdr:col>
      <xdr:colOff>123825</xdr:colOff>
      <xdr:row>28</xdr:row>
      <xdr:rowOff>104775</xdr:rowOff>
    </xdr:from>
    <xdr:to>
      <xdr:col>41</xdr:col>
      <xdr:colOff>457200</xdr:colOff>
      <xdr:row>30</xdr:row>
      <xdr:rowOff>28575</xdr:rowOff>
    </xdr:to>
    <xdr:sp>
      <xdr:nvSpPr>
        <xdr:cNvPr id="38" name="Comment 43" hidden="1"/>
        <xdr:cNvSpPr>
          <a:spLocks/>
        </xdr:cNvSpPr>
      </xdr:nvSpPr>
      <xdr:spPr>
        <a:xfrm>
          <a:off x="9677400" y="7258050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40</xdr:col>
      <xdr:colOff>123825</xdr:colOff>
      <xdr:row>29</xdr:row>
      <xdr:rowOff>104775</xdr:rowOff>
    </xdr:from>
    <xdr:to>
      <xdr:col>41</xdr:col>
      <xdr:colOff>457200</xdr:colOff>
      <xdr:row>31</xdr:row>
      <xdr:rowOff>28575</xdr:rowOff>
    </xdr:to>
    <xdr:sp>
      <xdr:nvSpPr>
        <xdr:cNvPr id="39" name="Comment 44" hidden="1"/>
        <xdr:cNvSpPr>
          <a:spLocks/>
        </xdr:cNvSpPr>
      </xdr:nvSpPr>
      <xdr:spPr>
        <a:xfrm>
          <a:off x="9677400" y="745807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40</xdr:col>
      <xdr:colOff>304800</xdr:colOff>
      <xdr:row>27</xdr:row>
      <xdr:rowOff>104775</xdr:rowOff>
    </xdr:from>
    <xdr:to>
      <xdr:col>42</xdr:col>
      <xdr:colOff>66675</xdr:colOff>
      <xdr:row>29</xdr:row>
      <xdr:rowOff>28575</xdr:rowOff>
    </xdr:to>
    <xdr:sp>
      <xdr:nvSpPr>
        <xdr:cNvPr id="40" name="Comment 45" hidden="1"/>
        <xdr:cNvSpPr>
          <a:spLocks/>
        </xdr:cNvSpPr>
      </xdr:nvSpPr>
      <xdr:spPr>
        <a:xfrm>
          <a:off x="9858375" y="70580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párového pořadí</a:t>
          </a:r>
        </a:p>
      </xdr:txBody>
    </xdr:sp>
    <xdr:clientData/>
  </xdr:twoCellAnchor>
  <xdr:twoCellAnchor editAs="absolute">
    <xdr:from>
      <xdr:col>40</xdr:col>
      <xdr:colOff>123825</xdr:colOff>
      <xdr:row>30</xdr:row>
      <xdr:rowOff>104775</xdr:rowOff>
    </xdr:from>
    <xdr:to>
      <xdr:col>41</xdr:col>
      <xdr:colOff>333375</xdr:colOff>
      <xdr:row>32</xdr:row>
      <xdr:rowOff>28575</xdr:rowOff>
    </xdr:to>
    <xdr:sp>
      <xdr:nvSpPr>
        <xdr:cNvPr id="41" name="Comment 46" hidden="1"/>
        <xdr:cNvSpPr>
          <a:spLocks/>
        </xdr:cNvSpPr>
      </xdr:nvSpPr>
      <xdr:spPr>
        <a:xfrm>
          <a:off x="9677400" y="765810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40</xdr:col>
      <xdr:colOff>123825</xdr:colOff>
      <xdr:row>31</xdr:row>
      <xdr:rowOff>104775</xdr:rowOff>
    </xdr:from>
    <xdr:to>
      <xdr:col>41</xdr:col>
      <xdr:colOff>333375</xdr:colOff>
      <xdr:row>33</xdr:row>
      <xdr:rowOff>28575</xdr:rowOff>
    </xdr:to>
    <xdr:sp>
      <xdr:nvSpPr>
        <xdr:cNvPr id="42" name="Comment 47" hidden="1"/>
        <xdr:cNvSpPr>
          <a:spLocks/>
        </xdr:cNvSpPr>
      </xdr:nvSpPr>
      <xdr:spPr>
        <a:xfrm>
          <a:off x="9677400" y="7858125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40</xdr:col>
      <xdr:colOff>123825</xdr:colOff>
      <xdr:row>32</xdr:row>
      <xdr:rowOff>104775</xdr:rowOff>
    </xdr:from>
    <xdr:to>
      <xdr:col>41</xdr:col>
      <xdr:colOff>333375</xdr:colOff>
      <xdr:row>34</xdr:row>
      <xdr:rowOff>28575</xdr:rowOff>
    </xdr:to>
    <xdr:sp>
      <xdr:nvSpPr>
        <xdr:cNvPr id="43" name="Comment 48" hidden="1"/>
        <xdr:cNvSpPr>
          <a:spLocks/>
        </xdr:cNvSpPr>
      </xdr:nvSpPr>
      <xdr:spPr>
        <a:xfrm>
          <a:off x="9677400" y="80581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40</xdr:col>
      <xdr:colOff>304800</xdr:colOff>
      <xdr:row>30</xdr:row>
      <xdr:rowOff>104775</xdr:rowOff>
    </xdr:from>
    <xdr:to>
      <xdr:col>41</xdr:col>
      <xdr:colOff>523875</xdr:colOff>
      <xdr:row>32</xdr:row>
      <xdr:rowOff>28575</xdr:rowOff>
    </xdr:to>
    <xdr:sp>
      <xdr:nvSpPr>
        <xdr:cNvPr id="44" name="Comment 49" hidden="1"/>
        <xdr:cNvSpPr>
          <a:spLocks/>
        </xdr:cNvSpPr>
      </xdr:nvSpPr>
      <xdr:spPr>
        <a:xfrm>
          <a:off x="9858375" y="765810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1. utkání
z minitabulky</a:t>
          </a:r>
        </a:p>
      </xdr:txBody>
    </xdr:sp>
    <xdr:clientData/>
  </xdr:twoCellAnchor>
  <xdr:twoCellAnchor editAs="absolute">
    <xdr:from>
      <xdr:col>40</xdr:col>
      <xdr:colOff>304800</xdr:colOff>
      <xdr:row>31</xdr:row>
      <xdr:rowOff>104775</xdr:rowOff>
    </xdr:from>
    <xdr:to>
      <xdr:col>41</xdr:col>
      <xdr:colOff>523875</xdr:colOff>
      <xdr:row>33</xdr:row>
      <xdr:rowOff>28575</xdr:rowOff>
    </xdr:to>
    <xdr:sp>
      <xdr:nvSpPr>
        <xdr:cNvPr id="45" name="Comment 50" hidden="1"/>
        <xdr:cNvSpPr>
          <a:spLocks/>
        </xdr:cNvSpPr>
      </xdr:nvSpPr>
      <xdr:spPr>
        <a:xfrm>
          <a:off x="9858375" y="7858125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2. utkání
z minitabulky</a:t>
          </a:r>
        </a:p>
      </xdr:txBody>
    </xdr:sp>
    <xdr:clientData/>
  </xdr:twoCellAnchor>
  <xdr:twoCellAnchor editAs="absolute">
    <xdr:from>
      <xdr:col>40</xdr:col>
      <xdr:colOff>304800</xdr:colOff>
      <xdr:row>32</xdr:row>
      <xdr:rowOff>104775</xdr:rowOff>
    </xdr:from>
    <xdr:to>
      <xdr:col>41</xdr:col>
      <xdr:colOff>523875</xdr:colOff>
      <xdr:row>34</xdr:row>
      <xdr:rowOff>28575</xdr:rowOff>
    </xdr:to>
    <xdr:sp>
      <xdr:nvSpPr>
        <xdr:cNvPr id="46" name="Comment 51" hidden="1"/>
        <xdr:cNvSpPr>
          <a:spLocks/>
        </xdr:cNvSpPr>
      </xdr:nvSpPr>
      <xdr:spPr>
        <a:xfrm>
          <a:off x="9858375" y="80581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3. utkání
z minitabulky</a:t>
          </a:r>
        </a:p>
      </xdr:txBody>
    </xdr:sp>
    <xdr:clientData/>
  </xdr:twoCellAnchor>
  <xdr:twoCellAnchor editAs="absolute">
    <xdr:from>
      <xdr:col>40</xdr:col>
      <xdr:colOff>104775</xdr:colOff>
      <xdr:row>33</xdr:row>
      <xdr:rowOff>85725</xdr:rowOff>
    </xdr:from>
    <xdr:to>
      <xdr:col>41</xdr:col>
      <xdr:colOff>476250</xdr:colOff>
      <xdr:row>35</xdr:row>
      <xdr:rowOff>9525</xdr:rowOff>
    </xdr:to>
    <xdr:sp>
      <xdr:nvSpPr>
        <xdr:cNvPr id="47" name="Comment 52" hidden="1"/>
        <xdr:cNvSpPr>
          <a:spLocks/>
        </xdr:cNvSpPr>
      </xdr:nvSpPr>
      <xdr:spPr>
        <a:xfrm>
          <a:off x="9658350" y="82391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párového pořadí</a:t>
          </a:r>
        </a:p>
      </xdr:txBody>
    </xdr:sp>
    <xdr:clientData/>
  </xdr:twoCellAnchor>
  <xdr:twoCellAnchor editAs="absolute">
    <xdr:from>
      <xdr:col>40</xdr:col>
      <xdr:colOff>304800</xdr:colOff>
      <xdr:row>33</xdr:row>
      <xdr:rowOff>104775</xdr:rowOff>
    </xdr:from>
    <xdr:to>
      <xdr:col>42</xdr:col>
      <xdr:colOff>66675</xdr:colOff>
      <xdr:row>35</xdr:row>
      <xdr:rowOff>28575</xdr:rowOff>
    </xdr:to>
    <xdr:sp>
      <xdr:nvSpPr>
        <xdr:cNvPr id="48" name="Comment 53" hidden="1"/>
        <xdr:cNvSpPr>
          <a:spLocks/>
        </xdr:cNvSpPr>
      </xdr:nvSpPr>
      <xdr:spPr>
        <a:xfrm>
          <a:off x="9858375" y="825817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párového pořadí</a:t>
          </a:r>
        </a:p>
      </xdr:txBody>
    </xdr:sp>
    <xdr:clientData/>
  </xdr:twoCellAnchor>
  <xdr:twoCellAnchor editAs="absolute">
    <xdr:from>
      <xdr:col>40</xdr:col>
      <xdr:colOff>304800</xdr:colOff>
      <xdr:row>34</xdr:row>
      <xdr:rowOff>104775</xdr:rowOff>
    </xdr:from>
    <xdr:to>
      <xdr:col>42</xdr:col>
      <xdr:colOff>85725</xdr:colOff>
      <xdr:row>46</xdr:row>
      <xdr:rowOff>142875</xdr:rowOff>
    </xdr:to>
    <xdr:sp>
      <xdr:nvSpPr>
        <xdr:cNvPr id="49" name="Comment 54" hidden="1"/>
        <xdr:cNvSpPr>
          <a:spLocks/>
        </xdr:cNvSpPr>
      </xdr:nvSpPr>
      <xdr:spPr>
        <a:xfrm>
          <a:off x="9858375" y="8458200"/>
          <a:ext cx="1000125" cy="4381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párového pořadí</a:t>
          </a:r>
        </a:p>
      </xdr:txBody>
    </xdr:sp>
    <xdr:clientData/>
  </xdr:twoCellAnchor>
  <xdr:twoCellAnchor editAs="absolute">
    <xdr:from>
      <xdr:col>40</xdr:col>
      <xdr:colOff>485775</xdr:colOff>
      <xdr:row>27</xdr:row>
      <xdr:rowOff>104775</xdr:rowOff>
    </xdr:from>
    <xdr:to>
      <xdr:col>42</xdr:col>
      <xdr:colOff>285750</xdr:colOff>
      <xdr:row>29</xdr:row>
      <xdr:rowOff>28575</xdr:rowOff>
    </xdr:to>
    <xdr:sp>
      <xdr:nvSpPr>
        <xdr:cNvPr id="50" name="Comment 55" hidden="1"/>
        <xdr:cNvSpPr>
          <a:spLocks/>
        </xdr:cNvSpPr>
      </xdr:nvSpPr>
      <xdr:spPr>
        <a:xfrm>
          <a:off x="10039350" y="705802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čtverného pořadí</a:t>
          </a:r>
        </a:p>
      </xdr:txBody>
    </xdr:sp>
    <xdr:clientData/>
  </xdr:twoCellAnchor>
  <xdr:twoCellAnchor editAs="absolute">
    <xdr:from>
      <xdr:col>40</xdr:col>
      <xdr:colOff>485775</xdr:colOff>
      <xdr:row>28</xdr:row>
      <xdr:rowOff>104775</xdr:rowOff>
    </xdr:from>
    <xdr:to>
      <xdr:col>42</xdr:col>
      <xdr:colOff>285750</xdr:colOff>
      <xdr:row>30</xdr:row>
      <xdr:rowOff>28575</xdr:rowOff>
    </xdr:to>
    <xdr:sp>
      <xdr:nvSpPr>
        <xdr:cNvPr id="51" name="Comment 56" hidden="1"/>
        <xdr:cNvSpPr>
          <a:spLocks/>
        </xdr:cNvSpPr>
      </xdr:nvSpPr>
      <xdr:spPr>
        <a:xfrm>
          <a:off x="10039350" y="725805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čtverného pořadí</a:t>
          </a:r>
        </a:p>
      </xdr:txBody>
    </xdr:sp>
    <xdr:clientData/>
  </xdr:twoCellAnchor>
  <xdr:twoCellAnchor editAs="absolute">
    <xdr:from>
      <xdr:col>40</xdr:col>
      <xdr:colOff>485775</xdr:colOff>
      <xdr:row>29</xdr:row>
      <xdr:rowOff>104775</xdr:rowOff>
    </xdr:from>
    <xdr:to>
      <xdr:col>42</xdr:col>
      <xdr:colOff>285750</xdr:colOff>
      <xdr:row>31</xdr:row>
      <xdr:rowOff>28575</xdr:rowOff>
    </xdr:to>
    <xdr:sp>
      <xdr:nvSpPr>
        <xdr:cNvPr id="52" name="Comment 57" hidden="1"/>
        <xdr:cNvSpPr>
          <a:spLocks/>
        </xdr:cNvSpPr>
      </xdr:nvSpPr>
      <xdr:spPr>
        <a:xfrm>
          <a:off x="10039350" y="745807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čtverného pořadí</a:t>
          </a:r>
        </a:p>
      </xdr:txBody>
    </xdr:sp>
    <xdr:clientData/>
  </xdr:twoCellAnchor>
  <xdr:twoCellAnchor editAs="absolute">
    <xdr:from>
      <xdr:col>40</xdr:col>
      <xdr:colOff>466725</xdr:colOff>
      <xdr:row>26</xdr:row>
      <xdr:rowOff>266700</xdr:rowOff>
    </xdr:from>
    <xdr:to>
      <xdr:col>41</xdr:col>
      <xdr:colOff>371475</xdr:colOff>
      <xdr:row>28</xdr:row>
      <xdr:rowOff>9525</xdr:rowOff>
    </xdr:to>
    <xdr:sp>
      <xdr:nvSpPr>
        <xdr:cNvPr id="53" name="Comment 58" hidden="1"/>
        <xdr:cNvSpPr>
          <a:spLocks/>
        </xdr:cNvSpPr>
      </xdr:nvSpPr>
      <xdr:spPr>
        <a:xfrm>
          <a:off x="10020300" y="6838950"/>
          <a:ext cx="5143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čtverné
pořadí</a:t>
          </a:r>
        </a:p>
      </xdr:txBody>
    </xdr:sp>
    <xdr:clientData/>
  </xdr:twoCellAnchor>
  <xdr:twoCellAnchor editAs="absolute">
    <xdr:from>
      <xdr:col>40</xdr:col>
      <xdr:colOff>466725</xdr:colOff>
      <xdr:row>30</xdr:row>
      <xdr:rowOff>85725</xdr:rowOff>
    </xdr:from>
    <xdr:to>
      <xdr:col>42</xdr:col>
      <xdr:colOff>266700</xdr:colOff>
      <xdr:row>32</xdr:row>
      <xdr:rowOff>9525</xdr:rowOff>
    </xdr:to>
    <xdr:sp>
      <xdr:nvSpPr>
        <xdr:cNvPr id="54" name="Comment 59" hidden="1"/>
        <xdr:cNvSpPr>
          <a:spLocks/>
        </xdr:cNvSpPr>
      </xdr:nvSpPr>
      <xdr:spPr>
        <a:xfrm>
          <a:off x="10020300" y="763905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4. řádek
čtverného pořadí</a:t>
          </a:r>
        </a:p>
      </xdr:txBody>
    </xdr:sp>
    <xdr:clientData/>
  </xdr:twoCellAnchor>
  <xdr:twoCellAnchor editAs="absolute">
    <xdr:from>
      <xdr:col>41</xdr:col>
      <xdr:colOff>57150</xdr:colOff>
      <xdr:row>31</xdr:row>
      <xdr:rowOff>104775</xdr:rowOff>
    </xdr:from>
    <xdr:to>
      <xdr:col>42</xdr:col>
      <xdr:colOff>276225</xdr:colOff>
      <xdr:row>33</xdr:row>
      <xdr:rowOff>28575</xdr:rowOff>
    </xdr:to>
    <xdr:sp>
      <xdr:nvSpPr>
        <xdr:cNvPr id="55" name="Comment 60" hidden="1"/>
        <xdr:cNvSpPr>
          <a:spLocks/>
        </xdr:cNvSpPr>
      </xdr:nvSpPr>
      <xdr:spPr>
        <a:xfrm>
          <a:off x="10220325" y="7858125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1. utkání
z minitabulky</a:t>
          </a:r>
        </a:p>
      </xdr:txBody>
    </xdr:sp>
    <xdr:clientData/>
  </xdr:twoCellAnchor>
  <xdr:twoCellAnchor editAs="absolute">
    <xdr:from>
      <xdr:col>41</xdr:col>
      <xdr:colOff>57150</xdr:colOff>
      <xdr:row>32</xdr:row>
      <xdr:rowOff>104775</xdr:rowOff>
    </xdr:from>
    <xdr:to>
      <xdr:col>42</xdr:col>
      <xdr:colOff>276225</xdr:colOff>
      <xdr:row>34</xdr:row>
      <xdr:rowOff>28575</xdr:rowOff>
    </xdr:to>
    <xdr:sp>
      <xdr:nvSpPr>
        <xdr:cNvPr id="56" name="Comment 61" hidden="1"/>
        <xdr:cNvSpPr>
          <a:spLocks/>
        </xdr:cNvSpPr>
      </xdr:nvSpPr>
      <xdr:spPr>
        <a:xfrm>
          <a:off x="10220325" y="80581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2. utkání
z minitabulky</a:t>
          </a:r>
        </a:p>
      </xdr:txBody>
    </xdr:sp>
    <xdr:clientData/>
  </xdr:twoCellAnchor>
  <xdr:twoCellAnchor editAs="absolute">
    <xdr:from>
      <xdr:col>41</xdr:col>
      <xdr:colOff>57150</xdr:colOff>
      <xdr:row>33</xdr:row>
      <xdr:rowOff>104775</xdr:rowOff>
    </xdr:from>
    <xdr:to>
      <xdr:col>42</xdr:col>
      <xdr:colOff>276225</xdr:colOff>
      <xdr:row>35</xdr:row>
      <xdr:rowOff>28575</xdr:rowOff>
    </xdr:to>
    <xdr:sp>
      <xdr:nvSpPr>
        <xdr:cNvPr id="57" name="Comment 62" hidden="1"/>
        <xdr:cNvSpPr>
          <a:spLocks/>
        </xdr:cNvSpPr>
      </xdr:nvSpPr>
      <xdr:spPr>
        <a:xfrm>
          <a:off x="10220325" y="8258175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3. utkání
z minitabulky</a:t>
          </a:r>
        </a:p>
      </xdr:txBody>
    </xdr:sp>
    <xdr:clientData/>
  </xdr:twoCellAnchor>
  <xdr:twoCellAnchor editAs="absolute">
    <xdr:from>
      <xdr:col>41</xdr:col>
      <xdr:colOff>57150</xdr:colOff>
      <xdr:row>34</xdr:row>
      <xdr:rowOff>104775</xdr:rowOff>
    </xdr:from>
    <xdr:to>
      <xdr:col>42</xdr:col>
      <xdr:colOff>276225</xdr:colOff>
      <xdr:row>46</xdr:row>
      <xdr:rowOff>19050</xdr:rowOff>
    </xdr:to>
    <xdr:sp>
      <xdr:nvSpPr>
        <xdr:cNvPr id="58" name="Comment 63" hidden="1"/>
        <xdr:cNvSpPr>
          <a:spLocks/>
        </xdr:cNvSpPr>
      </xdr:nvSpPr>
      <xdr:spPr>
        <a:xfrm>
          <a:off x="10220325" y="8458200"/>
          <a:ext cx="8286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4. utkání
z minitabulky</a:t>
          </a:r>
        </a:p>
      </xdr:txBody>
    </xdr:sp>
    <xdr:clientData/>
  </xdr:twoCellAnchor>
  <xdr:twoCellAnchor editAs="absolute">
    <xdr:from>
      <xdr:col>41</xdr:col>
      <xdr:colOff>57150</xdr:colOff>
      <xdr:row>35</xdr:row>
      <xdr:rowOff>114300</xdr:rowOff>
    </xdr:from>
    <xdr:to>
      <xdr:col>42</xdr:col>
      <xdr:colOff>276225</xdr:colOff>
      <xdr:row>47</xdr:row>
      <xdr:rowOff>28575</xdr:rowOff>
    </xdr:to>
    <xdr:sp>
      <xdr:nvSpPr>
        <xdr:cNvPr id="59" name="Comment 64" hidden="1"/>
        <xdr:cNvSpPr>
          <a:spLocks/>
        </xdr:cNvSpPr>
      </xdr:nvSpPr>
      <xdr:spPr>
        <a:xfrm>
          <a:off x="10220325" y="8667750"/>
          <a:ext cx="8286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5. utkání
z minitabulky</a:t>
          </a:r>
        </a:p>
      </xdr:txBody>
    </xdr:sp>
    <xdr:clientData/>
  </xdr:twoCellAnchor>
  <xdr:twoCellAnchor editAs="absolute">
    <xdr:from>
      <xdr:col>40</xdr:col>
      <xdr:colOff>466725</xdr:colOff>
      <xdr:row>31</xdr:row>
      <xdr:rowOff>85725</xdr:rowOff>
    </xdr:from>
    <xdr:to>
      <xdr:col>42</xdr:col>
      <xdr:colOff>66675</xdr:colOff>
      <xdr:row>33</xdr:row>
      <xdr:rowOff>9525</xdr:rowOff>
    </xdr:to>
    <xdr:sp>
      <xdr:nvSpPr>
        <xdr:cNvPr id="60" name="Comment 65" hidden="1"/>
        <xdr:cNvSpPr>
          <a:spLocks/>
        </xdr:cNvSpPr>
      </xdr:nvSpPr>
      <xdr:spPr>
        <a:xfrm>
          <a:off x="10020300" y="7839075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40</xdr:col>
      <xdr:colOff>485775</xdr:colOff>
      <xdr:row>32</xdr:row>
      <xdr:rowOff>104775</xdr:rowOff>
    </xdr:from>
    <xdr:to>
      <xdr:col>42</xdr:col>
      <xdr:colOff>85725</xdr:colOff>
      <xdr:row>34</xdr:row>
      <xdr:rowOff>28575</xdr:rowOff>
    </xdr:to>
    <xdr:sp>
      <xdr:nvSpPr>
        <xdr:cNvPr id="61" name="Comment 66" hidden="1"/>
        <xdr:cNvSpPr>
          <a:spLocks/>
        </xdr:cNvSpPr>
      </xdr:nvSpPr>
      <xdr:spPr>
        <a:xfrm>
          <a:off x="10039350" y="80581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40</xdr:col>
      <xdr:colOff>485775</xdr:colOff>
      <xdr:row>33</xdr:row>
      <xdr:rowOff>104775</xdr:rowOff>
    </xdr:from>
    <xdr:to>
      <xdr:col>42</xdr:col>
      <xdr:colOff>85725</xdr:colOff>
      <xdr:row>35</xdr:row>
      <xdr:rowOff>28575</xdr:rowOff>
    </xdr:to>
    <xdr:sp>
      <xdr:nvSpPr>
        <xdr:cNvPr id="62" name="Comment 67" hidden="1"/>
        <xdr:cNvSpPr>
          <a:spLocks/>
        </xdr:cNvSpPr>
      </xdr:nvSpPr>
      <xdr:spPr>
        <a:xfrm>
          <a:off x="10039350" y="8258175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40</xdr:col>
      <xdr:colOff>485775</xdr:colOff>
      <xdr:row>34</xdr:row>
      <xdr:rowOff>104775</xdr:rowOff>
    </xdr:from>
    <xdr:to>
      <xdr:col>42</xdr:col>
      <xdr:colOff>85725</xdr:colOff>
      <xdr:row>46</xdr:row>
      <xdr:rowOff>19050</xdr:rowOff>
    </xdr:to>
    <xdr:sp>
      <xdr:nvSpPr>
        <xdr:cNvPr id="63" name="Comment 68" hidden="1"/>
        <xdr:cNvSpPr>
          <a:spLocks/>
        </xdr:cNvSpPr>
      </xdr:nvSpPr>
      <xdr:spPr>
        <a:xfrm>
          <a:off x="10039350" y="8458200"/>
          <a:ext cx="8191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40</xdr:col>
      <xdr:colOff>485775</xdr:colOff>
      <xdr:row>35</xdr:row>
      <xdr:rowOff>114300</xdr:rowOff>
    </xdr:from>
    <xdr:to>
      <xdr:col>42</xdr:col>
      <xdr:colOff>85725</xdr:colOff>
      <xdr:row>47</xdr:row>
      <xdr:rowOff>28575</xdr:rowOff>
    </xdr:to>
    <xdr:sp>
      <xdr:nvSpPr>
        <xdr:cNvPr id="64" name="Comment 69" hidden="1"/>
        <xdr:cNvSpPr>
          <a:spLocks/>
        </xdr:cNvSpPr>
      </xdr:nvSpPr>
      <xdr:spPr>
        <a:xfrm>
          <a:off x="10039350" y="8667750"/>
          <a:ext cx="819150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40</xdr:col>
      <xdr:colOff>485775</xdr:colOff>
      <xdr:row>47</xdr:row>
      <xdr:rowOff>76200</xdr:rowOff>
    </xdr:from>
    <xdr:to>
      <xdr:col>42</xdr:col>
      <xdr:colOff>85725</xdr:colOff>
      <xdr:row>49</xdr:row>
      <xdr:rowOff>19050</xdr:rowOff>
    </xdr:to>
    <xdr:sp>
      <xdr:nvSpPr>
        <xdr:cNvPr id="65" name="Comment 70" hidden="1"/>
        <xdr:cNvSpPr>
          <a:spLocks/>
        </xdr:cNvSpPr>
      </xdr:nvSpPr>
      <xdr:spPr>
        <a:xfrm>
          <a:off x="10039350" y="8991600"/>
          <a:ext cx="819150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41</xdr:col>
      <xdr:colOff>57150</xdr:colOff>
      <xdr:row>47</xdr:row>
      <xdr:rowOff>76200</xdr:rowOff>
    </xdr:from>
    <xdr:to>
      <xdr:col>42</xdr:col>
      <xdr:colOff>276225</xdr:colOff>
      <xdr:row>49</xdr:row>
      <xdr:rowOff>19050</xdr:rowOff>
    </xdr:to>
    <xdr:sp>
      <xdr:nvSpPr>
        <xdr:cNvPr id="66" name="Comment 71" hidden="1"/>
        <xdr:cNvSpPr>
          <a:spLocks/>
        </xdr:cNvSpPr>
      </xdr:nvSpPr>
      <xdr:spPr>
        <a:xfrm>
          <a:off x="10220325" y="8991600"/>
          <a:ext cx="828675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6. utkání
z minitabulky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133350</xdr:colOff>
      <xdr:row>3</xdr:row>
      <xdr:rowOff>76200</xdr:rowOff>
    </xdr:from>
    <xdr:to>
      <xdr:col>11</xdr:col>
      <xdr:colOff>47625</xdr:colOff>
      <xdr:row>4</xdr:row>
      <xdr:rowOff>180975</xdr:rowOff>
    </xdr:to>
    <xdr:sp>
      <xdr:nvSpPr>
        <xdr:cNvPr id="1" name="Comment 1" hidden="1"/>
        <xdr:cNvSpPr>
          <a:spLocks/>
        </xdr:cNvSpPr>
      </xdr:nvSpPr>
      <xdr:spPr>
        <a:xfrm>
          <a:off x="3190875" y="771525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8</xdr:col>
      <xdr:colOff>114300</xdr:colOff>
      <xdr:row>16</xdr:row>
      <xdr:rowOff>152400</xdr:rowOff>
    </xdr:from>
    <xdr:to>
      <xdr:col>10</xdr:col>
      <xdr:colOff>142875</xdr:colOff>
      <xdr:row>18</xdr:row>
      <xdr:rowOff>66675</xdr:rowOff>
    </xdr:to>
    <xdr:sp>
      <xdr:nvSpPr>
        <xdr:cNvPr id="2" name="Comment 2" hidden="1"/>
        <xdr:cNvSpPr>
          <a:spLocks/>
        </xdr:cNvSpPr>
      </xdr:nvSpPr>
      <xdr:spPr>
        <a:xfrm>
          <a:off x="3171825" y="3571875"/>
          <a:ext cx="5905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22</xdr:col>
      <xdr:colOff>9525</xdr:colOff>
      <xdr:row>3</xdr:row>
      <xdr:rowOff>142875</xdr:rowOff>
    </xdr:from>
    <xdr:to>
      <xdr:col>24</xdr:col>
      <xdr:colOff>390525</xdr:colOff>
      <xdr:row>5</xdr:row>
      <xdr:rowOff>57150</xdr:rowOff>
    </xdr:to>
    <xdr:sp>
      <xdr:nvSpPr>
        <xdr:cNvPr id="3" name="Comment 3" hidden="1"/>
        <xdr:cNvSpPr>
          <a:spLocks/>
        </xdr:cNvSpPr>
      </xdr:nvSpPr>
      <xdr:spPr>
        <a:xfrm>
          <a:off x="7534275" y="838200"/>
          <a:ext cx="11430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23</xdr:col>
      <xdr:colOff>123825</xdr:colOff>
      <xdr:row>3</xdr:row>
      <xdr:rowOff>142875</xdr:rowOff>
    </xdr:from>
    <xdr:to>
      <xdr:col>51</xdr:col>
      <xdr:colOff>361950</xdr:colOff>
      <xdr:row>5</xdr:row>
      <xdr:rowOff>57150</xdr:rowOff>
    </xdr:to>
    <xdr:sp>
      <xdr:nvSpPr>
        <xdr:cNvPr id="4" name="Comment 4" hidden="1"/>
        <xdr:cNvSpPr>
          <a:spLocks/>
        </xdr:cNvSpPr>
      </xdr:nvSpPr>
      <xdr:spPr>
        <a:xfrm>
          <a:off x="7962900" y="838200"/>
          <a:ext cx="11334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53</xdr:col>
      <xdr:colOff>447675</xdr:colOff>
      <xdr:row>27</xdr:row>
      <xdr:rowOff>76200</xdr:rowOff>
    </xdr:from>
    <xdr:to>
      <xdr:col>54</xdr:col>
      <xdr:colOff>295275</xdr:colOff>
      <xdr:row>29</xdr:row>
      <xdr:rowOff>0</xdr:rowOff>
    </xdr:to>
    <xdr:sp>
      <xdr:nvSpPr>
        <xdr:cNvPr id="5" name="Comment 38" hidden="1"/>
        <xdr:cNvSpPr>
          <a:spLocks/>
        </xdr:cNvSpPr>
      </xdr:nvSpPr>
      <xdr:spPr>
        <a:xfrm>
          <a:off x="10401300" y="6991350"/>
          <a:ext cx="4572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součet
pořadí</a:t>
          </a:r>
        </a:p>
      </xdr:txBody>
    </xdr:sp>
    <xdr:clientData/>
  </xdr:twoCellAnchor>
  <xdr:twoCellAnchor editAs="absolute">
    <xdr:from>
      <xdr:col>52</xdr:col>
      <xdr:colOff>438150</xdr:colOff>
      <xdr:row>24</xdr:row>
      <xdr:rowOff>333375</xdr:rowOff>
    </xdr:from>
    <xdr:to>
      <xdr:col>53</xdr:col>
      <xdr:colOff>304800</xdr:colOff>
      <xdr:row>25</xdr:row>
      <xdr:rowOff>276225</xdr:rowOff>
    </xdr:to>
    <xdr:sp>
      <xdr:nvSpPr>
        <xdr:cNvPr id="6" name="Comment 70" hidden="1"/>
        <xdr:cNvSpPr>
          <a:spLocks/>
        </xdr:cNvSpPr>
      </xdr:nvSpPr>
      <xdr:spPr>
        <a:xfrm>
          <a:off x="9782175" y="6286500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52</xdr:col>
      <xdr:colOff>438150</xdr:colOff>
      <xdr:row>25</xdr:row>
      <xdr:rowOff>152400</xdr:rowOff>
    </xdr:from>
    <xdr:to>
      <xdr:col>53</xdr:col>
      <xdr:colOff>561975</xdr:colOff>
      <xdr:row>26</xdr:row>
      <xdr:rowOff>95250</xdr:rowOff>
    </xdr:to>
    <xdr:sp>
      <xdr:nvSpPr>
        <xdr:cNvPr id="7" name="Comment 71" hidden="1"/>
        <xdr:cNvSpPr>
          <a:spLocks/>
        </xdr:cNvSpPr>
      </xdr:nvSpPr>
      <xdr:spPr>
        <a:xfrm>
          <a:off x="9782175" y="6486525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1. párového</a:t>
          </a:r>
        </a:p>
      </xdr:txBody>
    </xdr:sp>
    <xdr:clientData/>
  </xdr:twoCellAnchor>
  <xdr:twoCellAnchor editAs="absolute">
    <xdr:from>
      <xdr:col>52</xdr:col>
      <xdr:colOff>438150</xdr:colOff>
      <xdr:row>26</xdr:row>
      <xdr:rowOff>152400</xdr:rowOff>
    </xdr:from>
    <xdr:to>
      <xdr:col>53</xdr:col>
      <xdr:colOff>561975</xdr:colOff>
      <xdr:row>28</xdr:row>
      <xdr:rowOff>76200</xdr:rowOff>
    </xdr:to>
    <xdr:sp>
      <xdr:nvSpPr>
        <xdr:cNvPr id="8" name="Comment 72" hidden="1"/>
        <xdr:cNvSpPr>
          <a:spLocks/>
        </xdr:cNvSpPr>
      </xdr:nvSpPr>
      <xdr:spPr>
        <a:xfrm>
          <a:off x="9782175" y="6867525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2. párového</a:t>
          </a:r>
        </a:p>
      </xdr:txBody>
    </xdr:sp>
    <xdr:clientData/>
  </xdr:twoCellAnchor>
  <xdr:twoCellAnchor editAs="absolute">
    <xdr:from>
      <xdr:col>52</xdr:col>
      <xdr:colOff>438150</xdr:colOff>
      <xdr:row>27</xdr:row>
      <xdr:rowOff>152400</xdr:rowOff>
    </xdr:from>
    <xdr:to>
      <xdr:col>53</xdr:col>
      <xdr:colOff>361950</xdr:colOff>
      <xdr:row>29</xdr:row>
      <xdr:rowOff>76200</xdr:rowOff>
    </xdr:to>
    <xdr:sp>
      <xdr:nvSpPr>
        <xdr:cNvPr id="9" name="Comment 73" hidden="1"/>
        <xdr:cNvSpPr>
          <a:spLocks/>
        </xdr:cNvSpPr>
      </xdr:nvSpPr>
      <xdr:spPr>
        <a:xfrm>
          <a:off x="9782175" y="7067550"/>
          <a:ext cx="5334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(utkání)</a:t>
          </a:r>
        </a:p>
      </xdr:txBody>
    </xdr:sp>
    <xdr:clientData/>
  </xdr:twoCellAnchor>
  <xdr:twoCellAnchor editAs="absolute">
    <xdr:from>
      <xdr:col>52</xdr:col>
      <xdr:colOff>438150</xdr:colOff>
      <xdr:row>28</xdr:row>
      <xdr:rowOff>152400</xdr:rowOff>
    </xdr:from>
    <xdr:to>
      <xdr:col>53</xdr:col>
      <xdr:colOff>266700</xdr:colOff>
      <xdr:row>30</xdr:row>
      <xdr:rowOff>76200</xdr:rowOff>
    </xdr:to>
    <xdr:sp>
      <xdr:nvSpPr>
        <xdr:cNvPr id="10" name="Comment 74" hidden="1"/>
        <xdr:cNvSpPr>
          <a:spLocks/>
        </xdr:cNvSpPr>
      </xdr:nvSpPr>
      <xdr:spPr>
        <a:xfrm>
          <a:off x="9782175" y="7267575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
utkání</a:t>
          </a:r>
        </a:p>
      </xdr:txBody>
    </xdr:sp>
    <xdr:clientData/>
  </xdr:twoCellAnchor>
  <xdr:twoCellAnchor editAs="absolute">
    <xdr:from>
      <xdr:col>52</xdr:col>
      <xdr:colOff>438150</xdr:colOff>
      <xdr:row>29</xdr:row>
      <xdr:rowOff>152400</xdr:rowOff>
    </xdr:from>
    <xdr:to>
      <xdr:col>54</xdr:col>
      <xdr:colOff>200025</xdr:colOff>
      <xdr:row>31</xdr:row>
      <xdr:rowOff>76200</xdr:rowOff>
    </xdr:to>
    <xdr:sp>
      <xdr:nvSpPr>
        <xdr:cNvPr id="11" name="Comment 75" hidden="1"/>
        <xdr:cNvSpPr>
          <a:spLocks/>
        </xdr:cNvSpPr>
      </xdr:nvSpPr>
      <xdr:spPr>
        <a:xfrm>
          <a:off x="9782175" y="74676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</a:t>
          </a:r>
        </a:p>
      </xdr:txBody>
    </xdr:sp>
    <xdr:clientData/>
  </xdr:twoCellAnchor>
  <xdr:twoCellAnchor editAs="absolute">
    <xdr:from>
      <xdr:col>53</xdr:col>
      <xdr:colOff>190500</xdr:colOff>
      <xdr:row>25</xdr:row>
      <xdr:rowOff>285750</xdr:rowOff>
    </xdr:from>
    <xdr:to>
      <xdr:col>54</xdr:col>
      <xdr:colOff>142875</xdr:colOff>
      <xdr:row>27</xdr:row>
      <xdr:rowOff>28575</xdr:rowOff>
    </xdr:to>
    <xdr:sp>
      <xdr:nvSpPr>
        <xdr:cNvPr id="12" name="Comment 76" hidden="1"/>
        <xdr:cNvSpPr>
          <a:spLocks/>
        </xdr:cNvSpPr>
      </xdr:nvSpPr>
      <xdr:spPr>
        <a:xfrm>
          <a:off x="10144125" y="6619875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1. pořadí</a:t>
          </a:r>
        </a:p>
      </xdr:txBody>
    </xdr:sp>
    <xdr:clientData/>
  </xdr:twoCellAnchor>
  <xdr:twoCellAnchor editAs="absolute">
    <xdr:from>
      <xdr:col>53</xdr:col>
      <xdr:colOff>190500</xdr:colOff>
      <xdr:row>26</xdr:row>
      <xdr:rowOff>104775</xdr:rowOff>
    </xdr:from>
    <xdr:to>
      <xdr:col>54</xdr:col>
      <xdr:colOff>142875</xdr:colOff>
      <xdr:row>28</xdr:row>
      <xdr:rowOff>28575</xdr:rowOff>
    </xdr:to>
    <xdr:sp>
      <xdr:nvSpPr>
        <xdr:cNvPr id="13" name="Comment 77" hidden="1"/>
        <xdr:cNvSpPr>
          <a:spLocks/>
        </xdr:cNvSpPr>
      </xdr:nvSpPr>
      <xdr:spPr>
        <a:xfrm>
          <a:off x="10144125" y="6819900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2. pořadí</a:t>
          </a:r>
        </a:p>
      </xdr:txBody>
    </xdr:sp>
    <xdr:clientData/>
  </xdr:twoCellAnchor>
  <xdr:twoCellAnchor editAs="absolute">
    <xdr:from>
      <xdr:col>53</xdr:col>
      <xdr:colOff>190500</xdr:colOff>
      <xdr:row>27</xdr:row>
      <xdr:rowOff>104775</xdr:rowOff>
    </xdr:from>
    <xdr:to>
      <xdr:col>54</xdr:col>
      <xdr:colOff>142875</xdr:colOff>
      <xdr:row>29</xdr:row>
      <xdr:rowOff>28575</xdr:rowOff>
    </xdr:to>
    <xdr:sp>
      <xdr:nvSpPr>
        <xdr:cNvPr id="14" name="Comment 78" hidden="1"/>
        <xdr:cNvSpPr>
          <a:spLocks/>
        </xdr:cNvSpPr>
      </xdr:nvSpPr>
      <xdr:spPr>
        <a:xfrm>
          <a:off x="10144125" y="7019925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3. pořadí</a:t>
          </a:r>
        </a:p>
      </xdr:txBody>
    </xdr:sp>
    <xdr:clientData/>
  </xdr:twoCellAnchor>
  <xdr:twoCellAnchor editAs="absolute">
    <xdr:from>
      <xdr:col>53</xdr:col>
      <xdr:colOff>190500</xdr:colOff>
      <xdr:row>28</xdr:row>
      <xdr:rowOff>104775</xdr:rowOff>
    </xdr:from>
    <xdr:to>
      <xdr:col>54</xdr:col>
      <xdr:colOff>142875</xdr:colOff>
      <xdr:row>30</xdr:row>
      <xdr:rowOff>28575</xdr:rowOff>
    </xdr:to>
    <xdr:sp>
      <xdr:nvSpPr>
        <xdr:cNvPr id="15" name="Comment 79" hidden="1"/>
        <xdr:cNvSpPr>
          <a:spLocks/>
        </xdr:cNvSpPr>
      </xdr:nvSpPr>
      <xdr:spPr>
        <a:xfrm>
          <a:off x="10144125" y="7219950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4. pořadí</a:t>
          </a:r>
        </a:p>
      </xdr:txBody>
    </xdr:sp>
    <xdr:clientData/>
  </xdr:twoCellAnchor>
  <xdr:twoCellAnchor editAs="absolute">
    <xdr:from>
      <xdr:col>53</xdr:col>
      <xdr:colOff>190500</xdr:colOff>
      <xdr:row>29</xdr:row>
      <xdr:rowOff>104775</xdr:rowOff>
    </xdr:from>
    <xdr:to>
      <xdr:col>54</xdr:col>
      <xdr:colOff>142875</xdr:colOff>
      <xdr:row>31</xdr:row>
      <xdr:rowOff>28575</xdr:rowOff>
    </xdr:to>
    <xdr:sp>
      <xdr:nvSpPr>
        <xdr:cNvPr id="16" name="Comment 80" hidden="1"/>
        <xdr:cNvSpPr>
          <a:spLocks/>
        </xdr:cNvSpPr>
      </xdr:nvSpPr>
      <xdr:spPr>
        <a:xfrm>
          <a:off x="10144125" y="7419975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počet
5. pořadí</a:t>
          </a:r>
        </a:p>
      </xdr:txBody>
    </xdr:sp>
    <xdr:clientData/>
  </xdr:twoCellAnchor>
  <xdr:twoCellAnchor editAs="absolute">
    <xdr:from>
      <xdr:col>53</xdr:col>
      <xdr:colOff>371475</xdr:colOff>
      <xdr:row>25</xdr:row>
      <xdr:rowOff>285750</xdr:rowOff>
    </xdr:from>
    <xdr:to>
      <xdr:col>54</xdr:col>
      <xdr:colOff>361950</xdr:colOff>
      <xdr:row>27</xdr:row>
      <xdr:rowOff>28575</xdr:rowOff>
    </xdr:to>
    <xdr:sp>
      <xdr:nvSpPr>
        <xdr:cNvPr id="17" name="Comment 81" hidden="1"/>
        <xdr:cNvSpPr>
          <a:spLocks/>
        </xdr:cNvSpPr>
      </xdr:nvSpPr>
      <xdr:spPr>
        <a:xfrm>
          <a:off x="10325100" y="6619875"/>
          <a:ext cx="600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párové
pořadí</a:t>
          </a:r>
        </a:p>
      </xdr:txBody>
    </xdr:sp>
    <xdr:clientData/>
  </xdr:twoCellAnchor>
  <xdr:twoCellAnchor editAs="absolute">
    <xdr:from>
      <xdr:col>53</xdr:col>
      <xdr:colOff>371475</xdr:colOff>
      <xdr:row>26</xdr:row>
      <xdr:rowOff>104775</xdr:rowOff>
    </xdr:from>
    <xdr:to>
      <xdr:col>54</xdr:col>
      <xdr:colOff>361950</xdr:colOff>
      <xdr:row>28</xdr:row>
      <xdr:rowOff>28575</xdr:rowOff>
    </xdr:to>
    <xdr:sp>
      <xdr:nvSpPr>
        <xdr:cNvPr id="18" name="Comment 82" hidden="1"/>
        <xdr:cNvSpPr>
          <a:spLocks/>
        </xdr:cNvSpPr>
      </xdr:nvSpPr>
      <xdr:spPr>
        <a:xfrm>
          <a:off x="10325100" y="6819900"/>
          <a:ext cx="600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párové
pořadí</a:t>
          </a:r>
        </a:p>
      </xdr:txBody>
    </xdr:sp>
    <xdr:clientData/>
  </xdr:twoCellAnchor>
  <xdr:twoCellAnchor editAs="absolute">
    <xdr:from>
      <xdr:col>53</xdr:col>
      <xdr:colOff>190500</xdr:colOff>
      <xdr:row>30</xdr:row>
      <xdr:rowOff>104775</xdr:rowOff>
    </xdr:from>
    <xdr:to>
      <xdr:col>54</xdr:col>
      <xdr:colOff>561975</xdr:colOff>
      <xdr:row>32</xdr:row>
      <xdr:rowOff>28575</xdr:rowOff>
    </xdr:to>
    <xdr:sp>
      <xdr:nvSpPr>
        <xdr:cNvPr id="19" name="Comment 83" hidden="1"/>
        <xdr:cNvSpPr>
          <a:spLocks/>
        </xdr:cNvSpPr>
      </xdr:nvSpPr>
      <xdr:spPr>
        <a:xfrm>
          <a:off x="10144125" y="76200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53</xdr:col>
      <xdr:colOff>371475</xdr:colOff>
      <xdr:row>30</xdr:row>
      <xdr:rowOff>104775</xdr:rowOff>
    </xdr:from>
    <xdr:to>
      <xdr:col>55</xdr:col>
      <xdr:colOff>133350</xdr:colOff>
      <xdr:row>32</xdr:row>
      <xdr:rowOff>28575</xdr:rowOff>
    </xdr:to>
    <xdr:sp>
      <xdr:nvSpPr>
        <xdr:cNvPr id="20" name="Comment 84" hidden="1"/>
        <xdr:cNvSpPr>
          <a:spLocks/>
        </xdr:cNvSpPr>
      </xdr:nvSpPr>
      <xdr:spPr>
        <a:xfrm>
          <a:off x="10325100" y="76200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nižšího
párového pořadí</a:t>
          </a:r>
        </a:p>
      </xdr:txBody>
    </xdr:sp>
    <xdr:clientData/>
  </xdr:twoCellAnchor>
  <xdr:twoCellAnchor editAs="absolute">
    <xdr:from>
      <xdr:col>53</xdr:col>
      <xdr:colOff>190500</xdr:colOff>
      <xdr:row>31</xdr:row>
      <xdr:rowOff>104775</xdr:rowOff>
    </xdr:from>
    <xdr:to>
      <xdr:col>54</xdr:col>
      <xdr:colOff>561975</xdr:colOff>
      <xdr:row>33</xdr:row>
      <xdr:rowOff>28575</xdr:rowOff>
    </xdr:to>
    <xdr:sp>
      <xdr:nvSpPr>
        <xdr:cNvPr id="21" name="Comment 85" hidden="1"/>
        <xdr:cNvSpPr>
          <a:spLocks/>
        </xdr:cNvSpPr>
      </xdr:nvSpPr>
      <xdr:spPr>
        <a:xfrm>
          <a:off x="10144125" y="78200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53</xdr:col>
      <xdr:colOff>371475</xdr:colOff>
      <xdr:row>31</xdr:row>
      <xdr:rowOff>104775</xdr:rowOff>
    </xdr:from>
    <xdr:to>
      <xdr:col>55</xdr:col>
      <xdr:colOff>133350</xdr:colOff>
      <xdr:row>33</xdr:row>
      <xdr:rowOff>28575</xdr:rowOff>
    </xdr:to>
    <xdr:sp>
      <xdr:nvSpPr>
        <xdr:cNvPr id="22" name="Comment 86" hidden="1"/>
        <xdr:cNvSpPr>
          <a:spLocks/>
        </xdr:cNvSpPr>
      </xdr:nvSpPr>
      <xdr:spPr>
        <a:xfrm>
          <a:off x="10325100" y="78200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nižšího
párového pořadí</a:t>
          </a:r>
        </a:p>
      </xdr:txBody>
    </xdr:sp>
    <xdr:clientData/>
  </xdr:twoCellAnchor>
  <xdr:twoCellAnchor editAs="absolute">
    <xdr:from>
      <xdr:col>53</xdr:col>
      <xdr:colOff>238125</xdr:colOff>
      <xdr:row>32</xdr:row>
      <xdr:rowOff>152400</xdr:rowOff>
    </xdr:from>
    <xdr:to>
      <xdr:col>55</xdr:col>
      <xdr:colOff>438150</xdr:colOff>
      <xdr:row>56</xdr:row>
      <xdr:rowOff>66675</xdr:rowOff>
    </xdr:to>
    <xdr:sp>
      <xdr:nvSpPr>
        <xdr:cNvPr id="23" name="Comment 87" hidden="1"/>
        <xdr:cNvSpPr>
          <a:spLocks/>
        </xdr:cNvSpPr>
      </xdr:nvSpPr>
      <xdr:spPr>
        <a:xfrm>
          <a:off x="10191750" y="8067675"/>
          <a:ext cx="14192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53</xdr:col>
      <xdr:colOff>419100</xdr:colOff>
      <xdr:row>32</xdr:row>
      <xdr:rowOff>152400</xdr:rowOff>
    </xdr:from>
    <xdr:to>
      <xdr:col>55</xdr:col>
      <xdr:colOff>581025</xdr:colOff>
      <xdr:row>56</xdr:row>
      <xdr:rowOff>66675</xdr:rowOff>
    </xdr:to>
    <xdr:sp>
      <xdr:nvSpPr>
        <xdr:cNvPr id="24" name="Comment 88" hidden="1"/>
        <xdr:cNvSpPr>
          <a:spLocks/>
        </xdr:cNvSpPr>
      </xdr:nvSpPr>
      <xdr:spPr>
        <a:xfrm>
          <a:off x="10372725" y="8067675"/>
          <a:ext cx="13811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nižšího párového pořadí</a:t>
          </a:r>
        </a:p>
      </xdr:txBody>
    </xdr:sp>
    <xdr:clientData/>
  </xdr:twoCellAnchor>
  <xdr:twoCellAnchor editAs="absolute">
    <xdr:from>
      <xdr:col>53</xdr:col>
      <xdr:colOff>219075</xdr:colOff>
      <xdr:row>23</xdr:row>
      <xdr:rowOff>133350</xdr:rowOff>
    </xdr:from>
    <xdr:to>
      <xdr:col>55</xdr:col>
      <xdr:colOff>419100</xdr:colOff>
      <xdr:row>24</xdr:row>
      <xdr:rowOff>76200</xdr:rowOff>
    </xdr:to>
    <xdr:sp>
      <xdr:nvSpPr>
        <xdr:cNvPr id="25" name="Comment 93" hidden="1"/>
        <xdr:cNvSpPr>
          <a:spLocks/>
        </xdr:cNvSpPr>
      </xdr:nvSpPr>
      <xdr:spPr>
        <a:xfrm>
          <a:off x="10172700" y="570547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vyššího párového pořadí</a:t>
          </a:r>
        </a:p>
      </xdr:txBody>
    </xdr:sp>
    <xdr:clientData/>
  </xdr:twoCellAnchor>
  <xdr:twoCellAnchor editAs="absolute">
    <xdr:from>
      <xdr:col>53</xdr:col>
      <xdr:colOff>400050</xdr:colOff>
      <xdr:row>23</xdr:row>
      <xdr:rowOff>133350</xdr:rowOff>
    </xdr:from>
    <xdr:to>
      <xdr:col>55</xdr:col>
      <xdr:colOff>561975</xdr:colOff>
      <xdr:row>24</xdr:row>
      <xdr:rowOff>76200</xdr:rowOff>
    </xdr:to>
    <xdr:sp>
      <xdr:nvSpPr>
        <xdr:cNvPr id="26" name="Comment 94" hidden="1"/>
        <xdr:cNvSpPr>
          <a:spLocks/>
        </xdr:cNvSpPr>
      </xdr:nvSpPr>
      <xdr:spPr>
        <a:xfrm>
          <a:off x="10353675" y="5705475"/>
          <a:ext cx="13811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nižšího párového pořadí</a:t>
          </a:r>
        </a:p>
      </xdr:txBody>
    </xdr:sp>
    <xdr:clientData/>
  </xdr:twoCellAnchor>
  <xdr:twoCellAnchor editAs="absolute">
    <xdr:from>
      <xdr:col>53</xdr:col>
      <xdr:colOff>190500</xdr:colOff>
      <xdr:row>24</xdr:row>
      <xdr:rowOff>95250</xdr:rowOff>
    </xdr:from>
    <xdr:to>
      <xdr:col>55</xdr:col>
      <xdr:colOff>409575</xdr:colOff>
      <xdr:row>25</xdr:row>
      <xdr:rowOff>190500</xdr:rowOff>
    </xdr:to>
    <xdr:sp>
      <xdr:nvSpPr>
        <xdr:cNvPr id="27" name="Comment 95" hidden="1"/>
        <xdr:cNvSpPr>
          <a:spLocks/>
        </xdr:cNvSpPr>
      </xdr:nvSpPr>
      <xdr:spPr>
        <a:xfrm>
          <a:off x="10144125" y="6048375"/>
          <a:ext cx="14382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53</xdr:col>
      <xdr:colOff>371475</xdr:colOff>
      <xdr:row>24</xdr:row>
      <xdr:rowOff>95250</xdr:rowOff>
    </xdr:from>
    <xdr:to>
      <xdr:col>55</xdr:col>
      <xdr:colOff>590550</xdr:colOff>
      <xdr:row>25</xdr:row>
      <xdr:rowOff>190500</xdr:rowOff>
    </xdr:to>
    <xdr:sp>
      <xdr:nvSpPr>
        <xdr:cNvPr id="28" name="Comment 96" hidden="1"/>
        <xdr:cNvSpPr>
          <a:spLocks/>
        </xdr:cNvSpPr>
      </xdr:nvSpPr>
      <xdr:spPr>
        <a:xfrm>
          <a:off x="10325100" y="6048375"/>
          <a:ext cx="14382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53</xdr:col>
      <xdr:colOff>552450</xdr:colOff>
      <xdr:row>25</xdr:row>
      <xdr:rowOff>285750</xdr:rowOff>
    </xdr:from>
    <xdr:to>
      <xdr:col>54</xdr:col>
      <xdr:colOff>504825</xdr:colOff>
      <xdr:row>27</xdr:row>
      <xdr:rowOff>28575</xdr:rowOff>
    </xdr:to>
    <xdr:sp>
      <xdr:nvSpPr>
        <xdr:cNvPr id="29" name="Comment 97" hidden="1"/>
        <xdr:cNvSpPr>
          <a:spLocks/>
        </xdr:cNvSpPr>
      </xdr:nvSpPr>
      <xdr:spPr>
        <a:xfrm>
          <a:off x="10506075" y="6619875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1. pořadí</a:t>
          </a:r>
        </a:p>
      </xdr:txBody>
    </xdr:sp>
    <xdr:clientData/>
  </xdr:twoCellAnchor>
  <xdr:twoCellAnchor editAs="absolute">
    <xdr:from>
      <xdr:col>54</xdr:col>
      <xdr:colOff>123825</xdr:colOff>
      <xdr:row>25</xdr:row>
      <xdr:rowOff>285750</xdr:rowOff>
    </xdr:from>
    <xdr:to>
      <xdr:col>55</xdr:col>
      <xdr:colOff>76200</xdr:colOff>
      <xdr:row>27</xdr:row>
      <xdr:rowOff>28575</xdr:rowOff>
    </xdr:to>
    <xdr:sp>
      <xdr:nvSpPr>
        <xdr:cNvPr id="30" name="Comment 98" hidden="1"/>
        <xdr:cNvSpPr>
          <a:spLocks/>
        </xdr:cNvSpPr>
      </xdr:nvSpPr>
      <xdr:spPr>
        <a:xfrm>
          <a:off x="10687050" y="6619875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1. pořadí</a:t>
          </a:r>
        </a:p>
      </xdr:txBody>
    </xdr:sp>
    <xdr:clientData/>
  </xdr:twoCellAnchor>
  <xdr:twoCellAnchor editAs="absolute">
    <xdr:from>
      <xdr:col>54</xdr:col>
      <xdr:colOff>123825</xdr:colOff>
      <xdr:row>26</xdr:row>
      <xdr:rowOff>104775</xdr:rowOff>
    </xdr:from>
    <xdr:to>
      <xdr:col>55</xdr:col>
      <xdr:colOff>114300</xdr:colOff>
      <xdr:row>28</xdr:row>
      <xdr:rowOff>28575</xdr:rowOff>
    </xdr:to>
    <xdr:sp>
      <xdr:nvSpPr>
        <xdr:cNvPr id="31" name="Comment 100" hidden="1"/>
        <xdr:cNvSpPr>
          <a:spLocks/>
        </xdr:cNvSpPr>
      </xdr:nvSpPr>
      <xdr:spPr>
        <a:xfrm>
          <a:off x="10687050" y="6819900"/>
          <a:ext cx="600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párové
pořadí</a:t>
          </a:r>
        </a:p>
      </xdr:txBody>
    </xdr:sp>
    <xdr:clientData/>
  </xdr:twoCellAnchor>
  <xdr:twoCellAnchor editAs="absolute">
    <xdr:from>
      <xdr:col>53</xdr:col>
      <xdr:colOff>552450</xdr:colOff>
      <xdr:row>26</xdr:row>
      <xdr:rowOff>104775</xdr:rowOff>
    </xdr:from>
    <xdr:to>
      <xdr:col>54</xdr:col>
      <xdr:colOff>504825</xdr:colOff>
      <xdr:row>28</xdr:row>
      <xdr:rowOff>28575</xdr:rowOff>
    </xdr:to>
    <xdr:sp>
      <xdr:nvSpPr>
        <xdr:cNvPr id="32" name="Comment 104" hidden="1"/>
        <xdr:cNvSpPr>
          <a:spLocks/>
        </xdr:cNvSpPr>
      </xdr:nvSpPr>
      <xdr:spPr>
        <a:xfrm>
          <a:off x="10506075" y="6819900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3. pořadí</a:t>
          </a:r>
        </a:p>
      </xdr:txBody>
    </xdr:sp>
    <xdr:clientData/>
  </xdr:twoCellAnchor>
  <xdr:twoCellAnchor editAs="absolute">
    <xdr:from>
      <xdr:col>53</xdr:col>
      <xdr:colOff>552450</xdr:colOff>
      <xdr:row>27</xdr:row>
      <xdr:rowOff>104775</xdr:rowOff>
    </xdr:from>
    <xdr:to>
      <xdr:col>54</xdr:col>
      <xdr:colOff>504825</xdr:colOff>
      <xdr:row>29</xdr:row>
      <xdr:rowOff>28575</xdr:rowOff>
    </xdr:to>
    <xdr:sp>
      <xdr:nvSpPr>
        <xdr:cNvPr id="33" name="Comment 105" hidden="1"/>
        <xdr:cNvSpPr>
          <a:spLocks/>
        </xdr:cNvSpPr>
      </xdr:nvSpPr>
      <xdr:spPr>
        <a:xfrm>
          <a:off x="10506075" y="7019925"/>
          <a:ext cx="561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5. pořadí</a:t>
          </a:r>
        </a:p>
      </xdr:txBody>
    </xdr:sp>
    <xdr:clientData/>
  </xdr:twoCellAnchor>
  <xdr:twoCellAnchor editAs="absolute">
    <xdr:from>
      <xdr:col>53</xdr:col>
      <xdr:colOff>552450</xdr:colOff>
      <xdr:row>28</xdr:row>
      <xdr:rowOff>104775</xdr:rowOff>
    </xdr:from>
    <xdr:to>
      <xdr:col>55</xdr:col>
      <xdr:colOff>295275</xdr:colOff>
      <xdr:row>30</xdr:row>
      <xdr:rowOff>28575</xdr:rowOff>
    </xdr:to>
    <xdr:sp>
      <xdr:nvSpPr>
        <xdr:cNvPr id="34" name="Comment 106" hidden="1"/>
        <xdr:cNvSpPr>
          <a:spLocks/>
        </xdr:cNvSpPr>
      </xdr:nvSpPr>
      <xdr:spPr>
        <a:xfrm>
          <a:off x="10506075" y="7219950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1. pořadí</a:t>
          </a:r>
        </a:p>
      </xdr:txBody>
    </xdr:sp>
    <xdr:clientData/>
  </xdr:twoCellAnchor>
  <xdr:twoCellAnchor editAs="absolute">
    <xdr:from>
      <xdr:col>54</xdr:col>
      <xdr:colOff>123825</xdr:colOff>
      <xdr:row>27</xdr:row>
      <xdr:rowOff>104775</xdr:rowOff>
    </xdr:from>
    <xdr:to>
      <xdr:col>55</xdr:col>
      <xdr:colOff>114300</xdr:colOff>
      <xdr:row>29</xdr:row>
      <xdr:rowOff>28575</xdr:rowOff>
    </xdr:to>
    <xdr:sp>
      <xdr:nvSpPr>
        <xdr:cNvPr id="35" name="Comment 107" hidden="1"/>
        <xdr:cNvSpPr>
          <a:spLocks/>
        </xdr:cNvSpPr>
      </xdr:nvSpPr>
      <xdr:spPr>
        <a:xfrm>
          <a:off x="10687050" y="7019925"/>
          <a:ext cx="600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párové
pořadí</a:t>
          </a:r>
        </a:p>
      </xdr:txBody>
    </xdr:sp>
    <xdr:clientData/>
  </xdr:twoCellAnchor>
  <xdr:twoCellAnchor editAs="absolute">
    <xdr:from>
      <xdr:col>53</xdr:col>
      <xdr:colOff>552450</xdr:colOff>
      <xdr:row>29</xdr:row>
      <xdr:rowOff>104775</xdr:rowOff>
    </xdr:from>
    <xdr:to>
      <xdr:col>55</xdr:col>
      <xdr:colOff>295275</xdr:colOff>
      <xdr:row>31</xdr:row>
      <xdr:rowOff>28575</xdr:rowOff>
    </xdr:to>
    <xdr:sp>
      <xdr:nvSpPr>
        <xdr:cNvPr id="36" name="Comment 108" hidden="1"/>
        <xdr:cNvSpPr>
          <a:spLocks/>
        </xdr:cNvSpPr>
      </xdr:nvSpPr>
      <xdr:spPr>
        <a:xfrm>
          <a:off x="10506075" y="7419975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3. pořadí</a:t>
          </a:r>
        </a:p>
      </xdr:txBody>
    </xdr:sp>
    <xdr:clientData/>
  </xdr:twoCellAnchor>
  <xdr:twoCellAnchor editAs="absolute">
    <xdr:from>
      <xdr:col>53</xdr:col>
      <xdr:colOff>552450</xdr:colOff>
      <xdr:row>30</xdr:row>
      <xdr:rowOff>104775</xdr:rowOff>
    </xdr:from>
    <xdr:to>
      <xdr:col>55</xdr:col>
      <xdr:colOff>295275</xdr:colOff>
      <xdr:row>32</xdr:row>
      <xdr:rowOff>28575</xdr:rowOff>
    </xdr:to>
    <xdr:sp>
      <xdr:nvSpPr>
        <xdr:cNvPr id="37" name="Comment 109" hidden="1"/>
        <xdr:cNvSpPr>
          <a:spLocks/>
        </xdr:cNvSpPr>
      </xdr:nvSpPr>
      <xdr:spPr>
        <a:xfrm>
          <a:off x="10506075" y="7620000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5. pořadí</a:t>
          </a:r>
        </a:p>
      </xdr:txBody>
    </xdr:sp>
    <xdr:clientData/>
  </xdr:twoCellAnchor>
  <xdr:twoCellAnchor editAs="absolute">
    <xdr:from>
      <xdr:col>54</xdr:col>
      <xdr:colOff>123825</xdr:colOff>
      <xdr:row>28</xdr:row>
      <xdr:rowOff>104775</xdr:rowOff>
    </xdr:from>
    <xdr:to>
      <xdr:col>55</xdr:col>
      <xdr:colOff>323850</xdr:colOff>
      <xdr:row>30</xdr:row>
      <xdr:rowOff>28575</xdr:rowOff>
    </xdr:to>
    <xdr:sp>
      <xdr:nvSpPr>
        <xdr:cNvPr id="38" name="Comment 110" hidden="1"/>
        <xdr:cNvSpPr>
          <a:spLocks/>
        </xdr:cNvSpPr>
      </xdr:nvSpPr>
      <xdr:spPr>
        <a:xfrm>
          <a:off x="10687050" y="7219950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1. pořadí</a:t>
          </a:r>
        </a:p>
      </xdr:txBody>
    </xdr:sp>
    <xdr:clientData/>
  </xdr:twoCellAnchor>
  <xdr:twoCellAnchor editAs="absolute">
    <xdr:from>
      <xdr:col>54</xdr:col>
      <xdr:colOff>123825</xdr:colOff>
      <xdr:row>29</xdr:row>
      <xdr:rowOff>104775</xdr:rowOff>
    </xdr:from>
    <xdr:to>
      <xdr:col>55</xdr:col>
      <xdr:colOff>323850</xdr:colOff>
      <xdr:row>31</xdr:row>
      <xdr:rowOff>28575</xdr:rowOff>
    </xdr:to>
    <xdr:sp>
      <xdr:nvSpPr>
        <xdr:cNvPr id="39" name="Comment 111" hidden="1"/>
        <xdr:cNvSpPr>
          <a:spLocks/>
        </xdr:cNvSpPr>
      </xdr:nvSpPr>
      <xdr:spPr>
        <a:xfrm>
          <a:off x="10687050" y="7419975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54</xdr:col>
      <xdr:colOff>123825</xdr:colOff>
      <xdr:row>30</xdr:row>
      <xdr:rowOff>104775</xdr:rowOff>
    </xdr:from>
    <xdr:to>
      <xdr:col>55</xdr:col>
      <xdr:colOff>323850</xdr:colOff>
      <xdr:row>32</xdr:row>
      <xdr:rowOff>28575</xdr:rowOff>
    </xdr:to>
    <xdr:sp>
      <xdr:nvSpPr>
        <xdr:cNvPr id="40" name="Comment 112" hidden="1"/>
        <xdr:cNvSpPr>
          <a:spLocks/>
        </xdr:cNvSpPr>
      </xdr:nvSpPr>
      <xdr:spPr>
        <a:xfrm>
          <a:off x="10687050" y="7620000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5. pořadí</a:t>
          </a:r>
        </a:p>
      </xdr:txBody>
    </xdr:sp>
    <xdr:clientData/>
  </xdr:twoCellAnchor>
  <xdr:twoCellAnchor editAs="absolute">
    <xdr:from>
      <xdr:col>53</xdr:col>
      <xdr:colOff>552450</xdr:colOff>
      <xdr:row>31</xdr:row>
      <xdr:rowOff>104775</xdr:rowOff>
    </xdr:from>
    <xdr:to>
      <xdr:col>55</xdr:col>
      <xdr:colOff>333375</xdr:colOff>
      <xdr:row>33</xdr:row>
      <xdr:rowOff>180975</xdr:rowOff>
    </xdr:to>
    <xdr:sp>
      <xdr:nvSpPr>
        <xdr:cNvPr id="41" name="Comment 113" hidden="1"/>
        <xdr:cNvSpPr>
          <a:spLocks/>
        </xdr:cNvSpPr>
      </xdr:nvSpPr>
      <xdr:spPr>
        <a:xfrm>
          <a:off x="10506075" y="7820025"/>
          <a:ext cx="100012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1. pořadí</a:t>
          </a:r>
        </a:p>
      </xdr:txBody>
    </xdr:sp>
    <xdr:clientData/>
  </xdr:twoCellAnchor>
  <xdr:twoCellAnchor editAs="absolute">
    <xdr:from>
      <xdr:col>53</xdr:col>
      <xdr:colOff>561975</xdr:colOff>
      <xdr:row>32</xdr:row>
      <xdr:rowOff>114300</xdr:rowOff>
    </xdr:from>
    <xdr:to>
      <xdr:col>55</xdr:col>
      <xdr:colOff>342900</xdr:colOff>
      <xdr:row>56</xdr:row>
      <xdr:rowOff>152400</xdr:rowOff>
    </xdr:to>
    <xdr:sp>
      <xdr:nvSpPr>
        <xdr:cNvPr id="42" name="Comment 116" hidden="1"/>
        <xdr:cNvSpPr>
          <a:spLocks/>
        </xdr:cNvSpPr>
      </xdr:nvSpPr>
      <xdr:spPr>
        <a:xfrm>
          <a:off x="10515600" y="8029575"/>
          <a:ext cx="1000125" cy="4381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3. pořadí</a:t>
          </a:r>
        </a:p>
      </xdr:txBody>
    </xdr:sp>
    <xdr:clientData/>
  </xdr:twoCellAnchor>
  <xdr:twoCellAnchor editAs="absolute">
    <xdr:from>
      <xdr:col>53</xdr:col>
      <xdr:colOff>552450</xdr:colOff>
      <xdr:row>23</xdr:row>
      <xdr:rowOff>104775</xdr:rowOff>
    </xdr:from>
    <xdr:to>
      <xdr:col>55</xdr:col>
      <xdr:colOff>333375</xdr:colOff>
      <xdr:row>24</xdr:row>
      <xdr:rowOff>200025</xdr:rowOff>
    </xdr:to>
    <xdr:sp>
      <xdr:nvSpPr>
        <xdr:cNvPr id="43" name="Comment 118" hidden="1"/>
        <xdr:cNvSpPr>
          <a:spLocks/>
        </xdr:cNvSpPr>
      </xdr:nvSpPr>
      <xdr:spPr>
        <a:xfrm>
          <a:off x="10506075" y="5676900"/>
          <a:ext cx="100012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5. pořadí</a:t>
          </a:r>
        </a:p>
      </xdr:txBody>
    </xdr:sp>
    <xdr:clientData/>
  </xdr:twoCellAnchor>
  <xdr:twoCellAnchor editAs="absolute">
    <xdr:from>
      <xdr:col>54</xdr:col>
      <xdr:colOff>285750</xdr:colOff>
      <xdr:row>25</xdr:row>
      <xdr:rowOff>266700</xdr:rowOff>
    </xdr:from>
    <xdr:to>
      <xdr:col>55</xdr:col>
      <xdr:colOff>114300</xdr:colOff>
      <xdr:row>27</xdr:row>
      <xdr:rowOff>9525</xdr:rowOff>
    </xdr:to>
    <xdr:sp>
      <xdr:nvSpPr>
        <xdr:cNvPr id="44" name="Comment 119" hidden="1"/>
        <xdr:cNvSpPr>
          <a:spLocks/>
        </xdr:cNvSpPr>
      </xdr:nvSpPr>
      <xdr:spPr>
        <a:xfrm>
          <a:off x="10848975" y="6600825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54</xdr:col>
      <xdr:colOff>285750</xdr:colOff>
      <xdr:row>26</xdr:row>
      <xdr:rowOff>85725</xdr:rowOff>
    </xdr:from>
    <xdr:to>
      <xdr:col>56</xdr:col>
      <xdr:colOff>9525</xdr:colOff>
      <xdr:row>28</xdr:row>
      <xdr:rowOff>9525</xdr:rowOff>
    </xdr:to>
    <xdr:sp>
      <xdr:nvSpPr>
        <xdr:cNvPr id="45" name="Comment 120" hidden="1"/>
        <xdr:cNvSpPr>
          <a:spLocks/>
        </xdr:cNvSpPr>
      </xdr:nvSpPr>
      <xdr:spPr>
        <a:xfrm>
          <a:off x="10848975" y="6800850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54</xdr:col>
      <xdr:colOff>304800</xdr:colOff>
      <xdr:row>27</xdr:row>
      <xdr:rowOff>104775</xdr:rowOff>
    </xdr:from>
    <xdr:to>
      <xdr:col>56</xdr:col>
      <xdr:colOff>28575</xdr:colOff>
      <xdr:row>29</xdr:row>
      <xdr:rowOff>28575</xdr:rowOff>
    </xdr:to>
    <xdr:sp>
      <xdr:nvSpPr>
        <xdr:cNvPr id="46" name="Comment 121" hidden="1"/>
        <xdr:cNvSpPr>
          <a:spLocks/>
        </xdr:cNvSpPr>
      </xdr:nvSpPr>
      <xdr:spPr>
        <a:xfrm>
          <a:off x="10868025" y="701992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54</xdr:col>
      <xdr:colOff>304800</xdr:colOff>
      <xdr:row>28</xdr:row>
      <xdr:rowOff>104775</xdr:rowOff>
    </xdr:from>
    <xdr:to>
      <xdr:col>56</xdr:col>
      <xdr:colOff>28575</xdr:colOff>
      <xdr:row>30</xdr:row>
      <xdr:rowOff>28575</xdr:rowOff>
    </xdr:to>
    <xdr:sp>
      <xdr:nvSpPr>
        <xdr:cNvPr id="47" name="Comment 122" hidden="1"/>
        <xdr:cNvSpPr>
          <a:spLocks/>
        </xdr:cNvSpPr>
      </xdr:nvSpPr>
      <xdr:spPr>
        <a:xfrm>
          <a:off x="10868025" y="7219950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54</xdr:col>
      <xdr:colOff>285750</xdr:colOff>
      <xdr:row>29</xdr:row>
      <xdr:rowOff>85725</xdr:rowOff>
    </xdr:from>
    <xdr:to>
      <xdr:col>56</xdr:col>
      <xdr:colOff>28575</xdr:colOff>
      <xdr:row>31</xdr:row>
      <xdr:rowOff>9525</xdr:rowOff>
    </xdr:to>
    <xdr:sp>
      <xdr:nvSpPr>
        <xdr:cNvPr id="48" name="Comment 123" hidden="1"/>
        <xdr:cNvSpPr>
          <a:spLocks/>
        </xdr:cNvSpPr>
      </xdr:nvSpPr>
      <xdr:spPr>
        <a:xfrm>
          <a:off x="10848975" y="7400925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trojitého pořadí</a:t>
          </a:r>
        </a:p>
      </xdr:txBody>
    </xdr:sp>
    <xdr:clientData/>
  </xdr:twoCellAnchor>
  <xdr:twoCellAnchor editAs="absolute">
    <xdr:from>
      <xdr:col>54</xdr:col>
      <xdr:colOff>304800</xdr:colOff>
      <xdr:row>30</xdr:row>
      <xdr:rowOff>104775</xdr:rowOff>
    </xdr:from>
    <xdr:to>
      <xdr:col>56</xdr:col>
      <xdr:colOff>47625</xdr:colOff>
      <xdr:row>32</xdr:row>
      <xdr:rowOff>28575</xdr:rowOff>
    </xdr:to>
    <xdr:sp>
      <xdr:nvSpPr>
        <xdr:cNvPr id="49" name="Comment 124" hidden="1"/>
        <xdr:cNvSpPr>
          <a:spLocks/>
        </xdr:cNvSpPr>
      </xdr:nvSpPr>
      <xdr:spPr>
        <a:xfrm>
          <a:off x="10868025" y="7620000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trojitého pořadí</a:t>
          </a:r>
        </a:p>
      </xdr:txBody>
    </xdr:sp>
    <xdr:clientData/>
  </xdr:twoCellAnchor>
  <xdr:twoCellAnchor editAs="absolute">
    <xdr:from>
      <xdr:col>54</xdr:col>
      <xdr:colOff>304800</xdr:colOff>
      <xdr:row>31</xdr:row>
      <xdr:rowOff>104775</xdr:rowOff>
    </xdr:from>
    <xdr:to>
      <xdr:col>56</xdr:col>
      <xdr:colOff>47625</xdr:colOff>
      <xdr:row>33</xdr:row>
      <xdr:rowOff>28575</xdr:rowOff>
    </xdr:to>
    <xdr:sp>
      <xdr:nvSpPr>
        <xdr:cNvPr id="50" name="Comment 125" hidden="1"/>
        <xdr:cNvSpPr>
          <a:spLocks/>
        </xdr:cNvSpPr>
      </xdr:nvSpPr>
      <xdr:spPr>
        <a:xfrm>
          <a:off x="10868025" y="7820025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trojitého pořadí</a:t>
          </a:r>
        </a:p>
      </xdr:txBody>
    </xdr:sp>
    <xdr:clientData/>
  </xdr:twoCellAnchor>
  <xdr:twoCellAnchor editAs="absolute">
    <xdr:from>
      <xdr:col>54</xdr:col>
      <xdr:colOff>485775</xdr:colOff>
      <xdr:row>29</xdr:row>
      <xdr:rowOff>104775</xdr:rowOff>
    </xdr:from>
    <xdr:to>
      <xdr:col>56</xdr:col>
      <xdr:colOff>76200</xdr:colOff>
      <xdr:row>31</xdr:row>
      <xdr:rowOff>28575</xdr:rowOff>
    </xdr:to>
    <xdr:sp>
      <xdr:nvSpPr>
        <xdr:cNvPr id="51" name="Comment 126" hidden="1"/>
        <xdr:cNvSpPr>
          <a:spLocks/>
        </xdr:cNvSpPr>
      </xdr:nvSpPr>
      <xdr:spPr>
        <a:xfrm>
          <a:off x="11049000" y="7419975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54</xdr:col>
      <xdr:colOff>485775</xdr:colOff>
      <xdr:row>30</xdr:row>
      <xdr:rowOff>104775</xdr:rowOff>
    </xdr:from>
    <xdr:to>
      <xdr:col>56</xdr:col>
      <xdr:colOff>76200</xdr:colOff>
      <xdr:row>32</xdr:row>
      <xdr:rowOff>28575</xdr:rowOff>
    </xdr:to>
    <xdr:sp>
      <xdr:nvSpPr>
        <xdr:cNvPr id="52" name="Comment 127" hidden="1"/>
        <xdr:cNvSpPr>
          <a:spLocks/>
        </xdr:cNvSpPr>
      </xdr:nvSpPr>
      <xdr:spPr>
        <a:xfrm>
          <a:off x="11049000" y="7620000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54</xdr:col>
      <xdr:colOff>485775</xdr:colOff>
      <xdr:row>31</xdr:row>
      <xdr:rowOff>104775</xdr:rowOff>
    </xdr:from>
    <xdr:to>
      <xdr:col>56</xdr:col>
      <xdr:colOff>76200</xdr:colOff>
      <xdr:row>33</xdr:row>
      <xdr:rowOff>28575</xdr:rowOff>
    </xdr:to>
    <xdr:sp>
      <xdr:nvSpPr>
        <xdr:cNvPr id="53" name="Comment 128" hidden="1"/>
        <xdr:cNvSpPr>
          <a:spLocks/>
        </xdr:cNvSpPr>
      </xdr:nvSpPr>
      <xdr:spPr>
        <a:xfrm>
          <a:off x="11049000" y="7820025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238125</xdr:colOff>
      <xdr:row>25</xdr:row>
      <xdr:rowOff>285750</xdr:rowOff>
    </xdr:from>
    <xdr:to>
      <xdr:col>56</xdr:col>
      <xdr:colOff>66675</xdr:colOff>
      <xdr:row>27</xdr:row>
      <xdr:rowOff>28575</xdr:rowOff>
    </xdr:to>
    <xdr:sp>
      <xdr:nvSpPr>
        <xdr:cNvPr id="54" name="Comment 129" hidden="1"/>
        <xdr:cNvSpPr>
          <a:spLocks/>
        </xdr:cNvSpPr>
      </xdr:nvSpPr>
      <xdr:spPr>
        <a:xfrm>
          <a:off x="11410950" y="6619875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55</xdr:col>
      <xdr:colOff>238125</xdr:colOff>
      <xdr:row>26</xdr:row>
      <xdr:rowOff>104775</xdr:rowOff>
    </xdr:from>
    <xdr:to>
      <xdr:col>56</xdr:col>
      <xdr:colOff>571500</xdr:colOff>
      <xdr:row>28</xdr:row>
      <xdr:rowOff>28575</xdr:rowOff>
    </xdr:to>
    <xdr:sp>
      <xdr:nvSpPr>
        <xdr:cNvPr id="55" name="Comment 130" hidden="1"/>
        <xdr:cNvSpPr>
          <a:spLocks/>
        </xdr:cNvSpPr>
      </xdr:nvSpPr>
      <xdr:spPr>
        <a:xfrm>
          <a:off x="11410950" y="6819900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55</xdr:col>
      <xdr:colOff>238125</xdr:colOff>
      <xdr:row>27</xdr:row>
      <xdr:rowOff>104775</xdr:rowOff>
    </xdr:from>
    <xdr:to>
      <xdr:col>56</xdr:col>
      <xdr:colOff>571500</xdr:colOff>
      <xdr:row>29</xdr:row>
      <xdr:rowOff>28575</xdr:rowOff>
    </xdr:to>
    <xdr:sp>
      <xdr:nvSpPr>
        <xdr:cNvPr id="56" name="Comment 131" hidden="1"/>
        <xdr:cNvSpPr>
          <a:spLocks/>
        </xdr:cNvSpPr>
      </xdr:nvSpPr>
      <xdr:spPr>
        <a:xfrm>
          <a:off x="11410950" y="701992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55</xdr:col>
      <xdr:colOff>238125</xdr:colOff>
      <xdr:row>28</xdr:row>
      <xdr:rowOff>104775</xdr:rowOff>
    </xdr:from>
    <xdr:to>
      <xdr:col>56</xdr:col>
      <xdr:colOff>571500</xdr:colOff>
      <xdr:row>30</xdr:row>
      <xdr:rowOff>28575</xdr:rowOff>
    </xdr:to>
    <xdr:sp>
      <xdr:nvSpPr>
        <xdr:cNvPr id="57" name="Comment 132" hidden="1"/>
        <xdr:cNvSpPr>
          <a:spLocks/>
        </xdr:cNvSpPr>
      </xdr:nvSpPr>
      <xdr:spPr>
        <a:xfrm>
          <a:off x="11410950" y="7219950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55</xdr:col>
      <xdr:colOff>238125</xdr:colOff>
      <xdr:row>29</xdr:row>
      <xdr:rowOff>104775</xdr:rowOff>
    </xdr:from>
    <xdr:to>
      <xdr:col>56</xdr:col>
      <xdr:colOff>590550</xdr:colOff>
      <xdr:row>31</xdr:row>
      <xdr:rowOff>28575</xdr:rowOff>
    </xdr:to>
    <xdr:sp>
      <xdr:nvSpPr>
        <xdr:cNvPr id="58" name="Comment 133" hidden="1"/>
        <xdr:cNvSpPr>
          <a:spLocks/>
        </xdr:cNvSpPr>
      </xdr:nvSpPr>
      <xdr:spPr>
        <a:xfrm>
          <a:off x="11410950" y="7419975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trojitého pořadí</a:t>
          </a:r>
        </a:p>
      </xdr:txBody>
    </xdr:sp>
    <xdr:clientData/>
  </xdr:twoCellAnchor>
  <xdr:twoCellAnchor editAs="absolute">
    <xdr:from>
      <xdr:col>55</xdr:col>
      <xdr:colOff>419100</xdr:colOff>
      <xdr:row>29</xdr:row>
      <xdr:rowOff>104775</xdr:rowOff>
    </xdr:from>
    <xdr:to>
      <xdr:col>57</xdr:col>
      <xdr:colOff>9525</xdr:colOff>
      <xdr:row>31</xdr:row>
      <xdr:rowOff>28575</xdr:rowOff>
    </xdr:to>
    <xdr:sp>
      <xdr:nvSpPr>
        <xdr:cNvPr id="59" name="Comment 134" hidden="1"/>
        <xdr:cNvSpPr>
          <a:spLocks/>
        </xdr:cNvSpPr>
      </xdr:nvSpPr>
      <xdr:spPr>
        <a:xfrm>
          <a:off x="11591925" y="7419975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238125</xdr:colOff>
      <xdr:row>30</xdr:row>
      <xdr:rowOff>104775</xdr:rowOff>
    </xdr:from>
    <xdr:to>
      <xdr:col>56</xdr:col>
      <xdr:colOff>590550</xdr:colOff>
      <xdr:row>32</xdr:row>
      <xdr:rowOff>28575</xdr:rowOff>
    </xdr:to>
    <xdr:sp>
      <xdr:nvSpPr>
        <xdr:cNvPr id="60" name="Comment 135" hidden="1"/>
        <xdr:cNvSpPr>
          <a:spLocks/>
        </xdr:cNvSpPr>
      </xdr:nvSpPr>
      <xdr:spPr>
        <a:xfrm>
          <a:off x="11410950" y="7620000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trojitého pořadí</a:t>
          </a:r>
        </a:p>
      </xdr:txBody>
    </xdr:sp>
    <xdr:clientData/>
  </xdr:twoCellAnchor>
  <xdr:twoCellAnchor editAs="absolute">
    <xdr:from>
      <xdr:col>55</xdr:col>
      <xdr:colOff>419100</xdr:colOff>
      <xdr:row>30</xdr:row>
      <xdr:rowOff>104775</xdr:rowOff>
    </xdr:from>
    <xdr:to>
      <xdr:col>57</xdr:col>
      <xdr:colOff>9525</xdr:colOff>
      <xdr:row>32</xdr:row>
      <xdr:rowOff>28575</xdr:rowOff>
    </xdr:to>
    <xdr:sp>
      <xdr:nvSpPr>
        <xdr:cNvPr id="61" name="Comment 136" hidden="1"/>
        <xdr:cNvSpPr>
          <a:spLocks/>
        </xdr:cNvSpPr>
      </xdr:nvSpPr>
      <xdr:spPr>
        <a:xfrm>
          <a:off x="11591925" y="7620000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238125</xdr:colOff>
      <xdr:row>31</xdr:row>
      <xdr:rowOff>104775</xdr:rowOff>
    </xdr:from>
    <xdr:to>
      <xdr:col>56</xdr:col>
      <xdr:colOff>590550</xdr:colOff>
      <xdr:row>33</xdr:row>
      <xdr:rowOff>28575</xdr:rowOff>
    </xdr:to>
    <xdr:sp>
      <xdr:nvSpPr>
        <xdr:cNvPr id="62" name="Comment 137" hidden="1"/>
        <xdr:cNvSpPr>
          <a:spLocks/>
        </xdr:cNvSpPr>
      </xdr:nvSpPr>
      <xdr:spPr>
        <a:xfrm>
          <a:off x="11410950" y="7820025"/>
          <a:ext cx="9620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trojitého pořadí</a:t>
          </a:r>
        </a:p>
      </xdr:txBody>
    </xdr:sp>
    <xdr:clientData/>
  </xdr:twoCellAnchor>
  <xdr:twoCellAnchor editAs="absolute">
    <xdr:from>
      <xdr:col>55</xdr:col>
      <xdr:colOff>419100</xdr:colOff>
      <xdr:row>31</xdr:row>
      <xdr:rowOff>104775</xdr:rowOff>
    </xdr:from>
    <xdr:to>
      <xdr:col>57</xdr:col>
      <xdr:colOff>9525</xdr:colOff>
      <xdr:row>33</xdr:row>
      <xdr:rowOff>28575</xdr:rowOff>
    </xdr:to>
    <xdr:sp>
      <xdr:nvSpPr>
        <xdr:cNvPr id="63" name="Comment 138" hidden="1"/>
        <xdr:cNvSpPr>
          <a:spLocks/>
        </xdr:cNvSpPr>
      </xdr:nvSpPr>
      <xdr:spPr>
        <a:xfrm>
          <a:off x="11591925" y="7820025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419100</xdr:colOff>
      <xdr:row>25</xdr:row>
      <xdr:rowOff>285750</xdr:rowOff>
    </xdr:from>
    <xdr:to>
      <xdr:col>56</xdr:col>
      <xdr:colOff>285750</xdr:colOff>
      <xdr:row>27</xdr:row>
      <xdr:rowOff>28575</xdr:rowOff>
    </xdr:to>
    <xdr:sp>
      <xdr:nvSpPr>
        <xdr:cNvPr id="64" name="Comment 139" hidden="1"/>
        <xdr:cNvSpPr>
          <a:spLocks/>
        </xdr:cNvSpPr>
      </xdr:nvSpPr>
      <xdr:spPr>
        <a:xfrm>
          <a:off x="11591925" y="6619875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55</xdr:col>
      <xdr:colOff>419100</xdr:colOff>
      <xdr:row>26</xdr:row>
      <xdr:rowOff>104775</xdr:rowOff>
    </xdr:from>
    <xdr:to>
      <xdr:col>56</xdr:col>
      <xdr:colOff>542925</xdr:colOff>
      <xdr:row>28</xdr:row>
      <xdr:rowOff>28575</xdr:rowOff>
    </xdr:to>
    <xdr:sp>
      <xdr:nvSpPr>
        <xdr:cNvPr id="65" name="Comment 140" hidden="1"/>
        <xdr:cNvSpPr>
          <a:spLocks/>
        </xdr:cNvSpPr>
      </xdr:nvSpPr>
      <xdr:spPr>
        <a:xfrm>
          <a:off x="11591925" y="6819900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1. párového</a:t>
          </a:r>
        </a:p>
      </xdr:txBody>
    </xdr:sp>
    <xdr:clientData/>
  </xdr:twoCellAnchor>
  <xdr:twoCellAnchor editAs="absolute">
    <xdr:from>
      <xdr:col>55</xdr:col>
      <xdr:colOff>419100</xdr:colOff>
      <xdr:row>27</xdr:row>
      <xdr:rowOff>104775</xdr:rowOff>
    </xdr:from>
    <xdr:to>
      <xdr:col>56</xdr:col>
      <xdr:colOff>542925</xdr:colOff>
      <xdr:row>29</xdr:row>
      <xdr:rowOff>28575</xdr:rowOff>
    </xdr:to>
    <xdr:sp>
      <xdr:nvSpPr>
        <xdr:cNvPr id="66" name="Comment 141" hidden="1"/>
        <xdr:cNvSpPr>
          <a:spLocks/>
        </xdr:cNvSpPr>
      </xdr:nvSpPr>
      <xdr:spPr>
        <a:xfrm>
          <a:off x="11591925" y="7019925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2. párového</a:t>
          </a:r>
        </a:p>
      </xdr:txBody>
    </xdr:sp>
    <xdr:clientData/>
  </xdr:twoCellAnchor>
  <xdr:twoCellAnchor editAs="absolute">
    <xdr:from>
      <xdr:col>55</xdr:col>
      <xdr:colOff>238125</xdr:colOff>
      <xdr:row>32</xdr:row>
      <xdr:rowOff>104775</xdr:rowOff>
    </xdr:from>
    <xdr:to>
      <xdr:col>57</xdr:col>
      <xdr:colOff>0</xdr:colOff>
      <xdr:row>56</xdr:row>
      <xdr:rowOff>19050</xdr:rowOff>
    </xdr:to>
    <xdr:sp>
      <xdr:nvSpPr>
        <xdr:cNvPr id="67" name="Comment 142" hidden="1"/>
        <xdr:cNvSpPr>
          <a:spLocks/>
        </xdr:cNvSpPr>
      </xdr:nvSpPr>
      <xdr:spPr>
        <a:xfrm>
          <a:off x="11410950" y="8020050"/>
          <a:ext cx="9810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párového pořadí</a:t>
          </a:r>
        </a:p>
      </xdr:txBody>
    </xdr:sp>
    <xdr:clientData/>
  </xdr:twoCellAnchor>
  <xdr:twoCellAnchor editAs="absolute">
    <xdr:from>
      <xdr:col>55</xdr:col>
      <xdr:colOff>419100</xdr:colOff>
      <xdr:row>32</xdr:row>
      <xdr:rowOff>104775</xdr:rowOff>
    </xdr:from>
    <xdr:to>
      <xdr:col>57</xdr:col>
      <xdr:colOff>180975</xdr:colOff>
      <xdr:row>56</xdr:row>
      <xdr:rowOff>19050</xdr:rowOff>
    </xdr:to>
    <xdr:sp>
      <xdr:nvSpPr>
        <xdr:cNvPr id="68" name="Comment 143" hidden="1"/>
        <xdr:cNvSpPr>
          <a:spLocks/>
        </xdr:cNvSpPr>
      </xdr:nvSpPr>
      <xdr:spPr>
        <a:xfrm>
          <a:off x="11591925" y="8020050"/>
          <a:ext cx="9810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párového pořadí</a:t>
          </a:r>
        </a:p>
      </xdr:txBody>
    </xdr:sp>
    <xdr:clientData/>
  </xdr:twoCellAnchor>
  <xdr:twoCellAnchor editAs="absolute">
    <xdr:from>
      <xdr:col>55</xdr:col>
      <xdr:colOff>419100</xdr:colOff>
      <xdr:row>33</xdr:row>
      <xdr:rowOff>114300</xdr:rowOff>
    </xdr:from>
    <xdr:to>
      <xdr:col>57</xdr:col>
      <xdr:colOff>180975</xdr:colOff>
      <xdr:row>57</xdr:row>
      <xdr:rowOff>28575</xdr:rowOff>
    </xdr:to>
    <xdr:sp>
      <xdr:nvSpPr>
        <xdr:cNvPr id="69" name="Comment 144" hidden="1"/>
        <xdr:cNvSpPr>
          <a:spLocks/>
        </xdr:cNvSpPr>
      </xdr:nvSpPr>
      <xdr:spPr>
        <a:xfrm>
          <a:off x="11591925" y="8229600"/>
          <a:ext cx="9810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</a:t>
          </a:r>
        </a:p>
      </xdr:txBody>
    </xdr:sp>
    <xdr:clientData/>
  </xdr:twoCellAnchor>
  <xdr:twoCellAnchor editAs="absolute">
    <xdr:from>
      <xdr:col>54</xdr:col>
      <xdr:colOff>114300</xdr:colOff>
      <xdr:row>18</xdr:row>
      <xdr:rowOff>104775</xdr:rowOff>
    </xdr:from>
    <xdr:to>
      <xdr:col>54</xdr:col>
      <xdr:colOff>571500</xdr:colOff>
      <xdr:row>19</xdr:row>
      <xdr:rowOff>76200</xdr:rowOff>
    </xdr:to>
    <xdr:sp>
      <xdr:nvSpPr>
        <xdr:cNvPr id="70" name="Comment 145" hidden="1"/>
        <xdr:cNvSpPr>
          <a:spLocks/>
        </xdr:cNvSpPr>
      </xdr:nvSpPr>
      <xdr:spPr>
        <a:xfrm>
          <a:off x="10677525" y="3943350"/>
          <a:ext cx="4572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2+2+2</a:t>
          </a:r>
        </a:p>
      </xdr:txBody>
    </xdr:sp>
    <xdr:clientData/>
  </xdr:twoCellAnchor>
  <xdr:twoCellAnchor editAs="absolute">
    <xdr:from>
      <xdr:col>54</xdr:col>
      <xdr:colOff>485775</xdr:colOff>
      <xdr:row>18</xdr:row>
      <xdr:rowOff>114300</xdr:rowOff>
    </xdr:from>
    <xdr:to>
      <xdr:col>55</xdr:col>
      <xdr:colOff>485775</xdr:colOff>
      <xdr:row>19</xdr:row>
      <xdr:rowOff>85725</xdr:rowOff>
    </xdr:to>
    <xdr:sp>
      <xdr:nvSpPr>
        <xdr:cNvPr id="71" name="Comment 146" hidden="1"/>
        <xdr:cNvSpPr>
          <a:spLocks/>
        </xdr:cNvSpPr>
      </xdr:nvSpPr>
      <xdr:spPr>
        <a:xfrm>
          <a:off x="11049000" y="3952875"/>
          <a:ext cx="6096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3+1+1+1</a:t>
          </a:r>
        </a:p>
      </xdr:txBody>
    </xdr:sp>
    <xdr:clientData/>
  </xdr:twoCellAnchor>
  <xdr:twoCellAnchor editAs="absolute">
    <xdr:from>
      <xdr:col>55</xdr:col>
      <xdr:colOff>600075</xdr:colOff>
      <xdr:row>25</xdr:row>
      <xdr:rowOff>285750</xdr:rowOff>
    </xdr:from>
    <xdr:to>
      <xdr:col>57</xdr:col>
      <xdr:colOff>447675</xdr:colOff>
      <xdr:row>27</xdr:row>
      <xdr:rowOff>28575</xdr:rowOff>
    </xdr:to>
    <xdr:sp>
      <xdr:nvSpPr>
        <xdr:cNvPr id="72" name="Comment 153" hidden="1"/>
        <xdr:cNvSpPr>
          <a:spLocks/>
        </xdr:cNvSpPr>
      </xdr:nvSpPr>
      <xdr:spPr>
        <a:xfrm>
          <a:off x="11772900" y="6619875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1. trojitého pořadí</a:t>
          </a:r>
        </a:p>
      </xdr:txBody>
    </xdr:sp>
    <xdr:clientData/>
  </xdr:twoCellAnchor>
  <xdr:twoCellAnchor editAs="absolute">
    <xdr:from>
      <xdr:col>55</xdr:col>
      <xdr:colOff>600075</xdr:colOff>
      <xdr:row>26</xdr:row>
      <xdr:rowOff>104775</xdr:rowOff>
    </xdr:from>
    <xdr:to>
      <xdr:col>57</xdr:col>
      <xdr:colOff>447675</xdr:colOff>
      <xdr:row>28</xdr:row>
      <xdr:rowOff>28575</xdr:rowOff>
    </xdr:to>
    <xdr:sp>
      <xdr:nvSpPr>
        <xdr:cNvPr id="73" name="Comment 154" hidden="1"/>
        <xdr:cNvSpPr>
          <a:spLocks/>
        </xdr:cNvSpPr>
      </xdr:nvSpPr>
      <xdr:spPr>
        <a:xfrm>
          <a:off x="11772900" y="6819900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1. trojitého pořadí</a:t>
          </a:r>
        </a:p>
      </xdr:txBody>
    </xdr:sp>
    <xdr:clientData/>
  </xdr:twoCellAnchor>
  <xdr:twoCellAnchor editAs="absolute">
    <xdr:from>
      <xdr:col>55</xdr:col>
      <xdr:colOff>600075</xdr:colOff>
      <xdr:row>27</xdr:row>
      <xdr:rowOff>104775</xdr:rowOff>
    </xdr:from>
    <xdr:to>
      <xdr:col>57</xdr:col>
      <xdr:colOff>447675</xdr:colOff>
      <xdr:row>29</xdr:row>
      <xdr:rowOff>28575</xdr:rowOff>
    </xdr:to>
    <xdr:sp>
      <xdr:nvSpPr>
        <xdr:cNvPr id="74" name="Comment 155" hidden="1"/>
        <xdr:cNvSpPr>
          <a:spLocks/>
        </xdr:cNvSpPr>
      </xdr:nvSpPr>
      <xdr:spPr>
        <a:xfrm>
          <a:off x="11772900" y="7019925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1. trojitého pořadí</a:t>
          </a:r>
        </a:p>
      </xdr:txBody>
    </xdr:sp>
    <xdr:clientData/>
  </xdr:twoCellAnchor>
  <xdr:twoCellAnchor editAs="absolute">
    <xdr:from>
      <xdr:col>56</xdr:col>
      <xdr:colOff>171450</xdr:colOff>
      <xdr:row>25</xdr:row>
      <xdr:rowOff>285750</xdr:rowOff>
    </xdr:from>
    <xdr:to>
      <xdr:col>58</xdr:col>
      <xdr:colOff>19050</xdr:colOff>
      <xdr:row>27</xdr:row>
      <xdr:rowOff>28575</xdr:rowOff>
    </xdr:to>
    <xdr:sp>
      <xdr:nvSpPr>
        <xdr:cNvPr id="75" name="Comment 156" hidden="1"/>
        <xdr:cNvSpPr>
          <a:spLocks/>
        </xdr:cNvSpPr>
      </xdr:nvSpPr>
      <xdr:spPr>
        <a:xfrm>
          <a:off x="11953875" y="6619875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2. trojitého pořadí</a:t>
          </a:r>
        </a:p>
      </xdr:txBody>
    </xdr:sp>
    <xdr:clientData/>
  </xdr:twoCellAnchor>
  <xdr:twoCellAnchor editAs="absolute">
    <xdr:from>
      <xdr:col>56</xdr:col>
      <xdr:colOff>171450</xdr:colOff>
      <xdr:row>26</xdr:row>
      <xdr:rowOff>104775</xdr:rowOff>
    </xdr:from>
    <xdr:to>
      <xdr:col>58</xdr:col>
      <xdr:colOff>19050</xdr:colOff>
      <xdr:row>28</xdr:row>
      <xdr:rowOff>28575</xdr:rowOff>
    </xdr:to>
    <xdr:sp>
      <xdr:nvSpPr>
        <xdr:cNvPr id="76" name="Comment 157" hidden="1"/>
        <xdr:cNvSpPr>
          <a:spLocks/>
        </xdr:cNvSpPr>
      </xdr:nvSpPr>
      <xdr:spPr>
        <a:xfrm>
          <a:off x="11953875" y="6819900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1. trojitého pořadí</a:t>
          </a:r>
        </a:p>
      </xdr:txBody>
    </xdr:sp>
    <xdr:clientData/>
  </xdr:twoCellAnchor>
  <xdr:twoCellAnchor editAs="absolute">
    <xdr:from>
      <xdr:col>56</xdr:col>
      <xdr:colOff>171450</xdr:colOff>
      <xdr:row>27</xdr:row>
      <xdr:rowOff>104775</xdr:rowOff>
    </xdr:from>
    <xdr:to>
      <xdr:col>58</xdr:col>
      <xdr:colOff>19050</xdr:colOff>
      <xdr:row>29</xdr:row>
      <xdr:rowOff>28575</xdr:rowOff>
    </xdr:to>
    <xdr:sp>
      <xdr:nvSpPr>
        <xdr:cNvPr id="77" name="Comment 158" hidden="1"/>
        <xdr:cNvSpPr>
          <a:spLocks/>
        </xdr:cNvSpPr>
      </xdr:nvSpPr>
      <xdr:spPr>
        <a:xfrm>
          <a:off x="11953875" y="7019925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2. trojitého pořadí</a:t>
          </a:r>
        </a:p>
      </xdr:txBody>
    </xdr:sp>
    <xdr:clientData/>
  </xdr:twoCellAnchor>
  <xdr:twoCellAnchor editAs="absolute">
    <xdr:from>
      <xdr:col>55</xdr:col>
      <xdr:colOff>600075</xdr:colOff>
      <xdr:row>28</xdr:row>
      <xdr:rowOff>104775</xdr:rowOff>
    </xdr:from>
    <xdr:to>
      <xdr:col>57</xdr:col>
      <xdr:colOff>447675</xdr:colOff>
      <xdr:row>30</xdr:row>
      <xdr:rowOff>28575</xdr:rowOff>
    </xdr:to>
    <xdr:sp>
      <xdr:nvSpPr>
        <xdr:cNvPr id="78" name="Comment 159" hidden="1"/>
        <xdr:cNvSpPr>
          <a:spLocks/>
        </xdr:cNvSpPr>
      </xdr:nvSpPr>
      <xdr:spPr>
        <a:xfrm>
          <a:off x="11772900" y="7219950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1. trojitého pořadí</a:t>
          </a:r>
        </a:p>
      </xdr:txBody>
    </xdr:sp>
    <xdr:clientData/>
  </xdr:twoCellAnchor>
  <xdr:twoCellAnchor editAs="absolute">
    <xdr:from>
      <xdr:col>56</xdr:col>
      <xdr:colOff>171450</xdr:colOff>
      <xdr:row>28</xdr:row>
      <xdr:rowOff>104775</xdr:rowOff>
    </xdr:from>
    <xdr:to>
      <xdr:col>57</xdr:col>
      <xdr:colOff>371475</xdr:colOff>
      <xdr:row>30</xdr:row>
      <xdr:rowOff>28575</xdr:rowOff>
    </xdr:to>
    <xdr:sp>
      <xdr:nvSpPr>
        <xdr:cNvPr id="79" name="Comment 160" hidden="1"/>
        <xdr:cNvSpPr>
          <a:spLocks/>
        </xdr:cNvSpPr>
      </xdr:nvSpPr>
      <xdr:spPr>
        <a:xfrm>
          <a:off x="11953875" y="7219950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600075</xdr:colOff>
      <xdr:row>29</xdr:row>
      <xdr:rowOff>104775</xdr:rowOff>
    </xdr:from>
    <xdr:to>
      <xdr:col>57</xdr:col>
      <xdr:colOff>447675</xdr:colOff>
      <xdr:row>31</xdr:row>
      <xdr:rowOff>28575</xdr:rowOff>
    </xdr:to>
    <xdr:sp>
      <xdr:nvSpPr>
        <xdr:cNvPr id="80" name="Comment 161" hidden="1"/>
        <xdr:cNvSpPr>
          <a:spLocks/>
        </xdr:cNvSpPr>
      </xdr:nvSpPr>
      <xdr:spPr>
        <a:xfrm>
          <a:off x="11772900" y="7419975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1. trojitého pořadí</a:t>
          </a:r>
        </a:p>
      </xdr:txBody>
    </xdr:sp>
    <xdr:clientData/>
  </xdr:twoCellAnchor>
  <xdr:twoCellAnchor editAs="absolute">
    <xdr:from>
      <xdr:col>56</xdr:col>
      <xdr:colOff>171450</xdr:colOff>
      <xdr:row>29</xdr:row>
      <xdr:rowOff>104775</xdr:rowOff>
    </xdr:from>
    <xdr:to>
      <xdr:col>57</xdr:col>
      <xdr:colOff>371475</xdr:colOff>
      <xdr:row>31</xdr:row>
      <xdr:rowOff>28575</xdr:rowOff>
    </xdr:to>
    <xdr:sp>
      <xdr:nvSpPr>
        <xdr:cNvPr id="81" name="Comment 162" hidden="1"/>
        <xdr:cNvSpPr>
          <a:spLocks/>
        </xdr:cNvSpPr>
      </xdr:nvSpPr>
      <xdr:spPr>
        <a:xfrm>
          <a:off x="11953875" y="7419975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600075</xdr:colOff>
      <xdr:row>30</xdr:row>
      <xdr:rowOff>104775</xdr:rowOff>
    </xdr:from>
    <xdr:to>
      <xdr:col>57</xdr:col>
      <xdr:colOff>447675</xdr:colOff>
      <xdr:row>32</xdr:row>
      <xdr:rowOff>28575</xdr:rowOff>
    </xdr:to>
    <xdr:sp>
      <xdr:nvSpPr>
        <xdr:cNvPr id="82" name="Comment 163" hidden="1"/>
        <xdr:cNvSpPr>
          <a:spLocks/>
        </xdr:cNvSpPr>
      </xdr:nvSpPr>
      <xdr:spPr>
        <a:xfrm>
          <a:off x="11772900" y="7620000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1. trojitého pořadí</a:t>
          </a:r>
        </a:p>
      </xdr:txBody>
    </xdr:sp>
    <xdr:clientData/>
  </xdr:twoCellAnchor>
  <xdr:twoCellAnchor editAs="absolute">
    <xdr:from>
      <xdr:col>56</xdr:col>
      <xdr:colOff>171450</xdr:colOff>
      <xdr:row>30</xdr:row>
      <xdr:rowOff>104775</xdr:rowOff>
    </xdr:from>
    <xdr:to>
      <xdr:col>57</xdr:col>
      <xdr:colOff>371475</xdr:colOff>
      <xdr:row>32</xdr:row>
      <xdr:rowOff>28575</xdr:rowOff>
    </xdr:to>
    <xdr:sp>
      <xdr:nvSpPr>
        <xdr:cNvPr id="83" name="Comment 164" hidden="1"/>
        <xdr:cNvSpPr>
          <a:spLocks/>
        </xdr:cNvSpPr>
      </xdr:nvSpPr>
      <xdr:spPr>
        <a:xfrm>
          <a:off x="11953875" y="7620000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600075</xdr:colOff>
      <xdr:row>31</xdr:row>
      <xdr:rowOff>104775</xdr:rowOff>
    </xdr:from>
    <xdr:to>
      <xdr:col>57</xdr:col>
      <xdr:colOff>447675</xdr:colOff>
      <xdr:row>33</xdr:row>
      <xdr:rowOff>28575</xdr:rowOff>
    </xdr:to>
    <xdr:sp>
      <xdr:nvSpPr>
        <xdr:cNvPr id="84" name="Comment 165" hidden="1"/>
        <xdr:cNvSpPr>
          <a:spLocks/>
        </xdr:cNvSpPr>
      </xdr:nvSpPr>
      <xdr:spPr>
        <a:xfrm>
          <a:off x="11772900" y="7820025"/>
          <a:ext cx="10668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1. trojitého pořadí</a:t>
          </a:r>
        </a:p>
      </xdr:txBody>
    </xdr:sp>
    <xdr:clientData/>
  </xdr:twoCellAnchor>
  <xdr:twoCellAnchor editAs="absolute">
    <xdr:from>
      <xdr:col>56</xdr:col>
      <xdr:colOff>171450</xdr:colOff>
      <xdr:row>31</xdr:row>
      <xdr:rowOff>104775</xdr:rowOff>
    </xdr:from>
    <xdr:to>
      <xdr:col>57</xdr:col>
      <xdr:colOff>371475</xdr:colOff>
      <xdr:row>33</xdr:row>
      <xdr:rowOff>28575</xdr:rowOff>
    </xdr:to>
    <xdr:sp>
      <xdr:nvSpPr>
        <xdr:cNvPr id="85" name="Comment 166" hidden="1"/>
        <xdr:cNvSpPr>
          <a:spLocks/>
        </xdr:cNvSpPr>
      </xdr:nvSpPr>
      <xdr:spPr>
        <a:xfrm>
          <a:off x="11953875" y="7820025"/>
          <a:ext cx="8096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600075</xdr:colOff>
      <xdr:row>32</xdr:row>
      <xdr:rowOff>104775</xdr:rowOff>
    </xdr:from>
    <xdr:to>
      <xdr:col>57</xdr:col>
      <xdr:colOff>447675</xdr:colOff>
      <xdr:row>56</xdr:row>
      <xdr:rowOff>19050</xdr:rowOff>
    </xdr:to>
    <xdr:sp>
      <xdr:nvSpPr>
        <xdr:cNvPr id="86" name="Comment 167" hidden="1"/>
        <xdr:cNvSpPr>
          <a:spLocks/>
        </xdr:cNvSpPr>
      </xdr:nvSpPr>
      <xdr:spPr>
        <a:xfrm>
          <a:off x="11772900" y="8020050"/>
          <a:ext cx="106680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1. trojitého pořadí</a:t>
          </a:r>
        </a:p>
      </xdr:txBody>
    </xdr:sp>
    <xdr:clientData/>
  </xdr:twoCellAnchor>
  <xdr:twoCellAnchor editAs="absolute">
    <xdr:from>
      <xdr:col>56</xdr:col>
      <xdr:colOff>171450</xdr:colOff>
      <xdr:row>32</xdr:row>
      <xdr:rowOff>104775</xdr:rowOff>
    </xdr:from>
    <xdr:to>
      <xdr:col>57</xdr:col>
      <xdr:colOff>371475</xdr:colOff>
      <xdr:row>56</xdr:row>
      <xdr:rowOff>19050</xdr:rowOff>
    </xdr:to>
    <xdr:sp>
      <xdr:nvSpPr>
        <xdr:cNvPr id="87" name="Comment 168" hidden="1"/>
        <xdr:cNvSpPr>
          <a:spLocks/>
        </xdr:cNvSpPr>
      </xdr:nvSpPr>
      <xdr:spPr>
        <a:xfrm>
          <a:off x="11953875" y="8020050"/>
          <a:ext cx="8096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55</xdr:col>
      <xdr:colOff>600075</xdr:colOff>
      <xdr:row>33</xdr:row>
      <xdr:rowOff>114300</xdr:rowOff>
    </xdr:from>
    <xdr:to>
      <xdr:col>57</xdr:col>
      <xdr:colOff>447675</xdr:colOff>
      <xdr:row>57</xdr:row>
      <xdr:rowOff>28575</xdr:rowOff>
    </xdr:to>
    <xdr:sp>
      <xdr:nvSpPr>
        <xdr:cNvPr id="88" name="Comment 169" hidden="1"/>
        <xdr:cNvSpPr>
          <a:spLocks/>
        </xdr:cNvSpPr>
      </xdr:nvSpPr>
      <xdr:spPr>
        <a:xfrm>
          <a:off x="11772900" y="8229600"/>
          <a:ext cx="1066800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1. trojitého pořadí</a:t>
          </a:r>
        </a:p>
      </xdr:txBody>
    </xdr:sp>
    <xdr:clientData/>
  </xdr:twoCellAnchor>
  <xdr:twoCellAnchor editAs="absolute">
    <xdr:from>
      <xdr:col>56</xdr:col>
      <xdr:colOff>171450</xdr:colOff>
      <xdr:row>33</xdr:row>
      <xdr:rowOff>114300</xdr:rowOff>
    </xdr:from>
    <xdr:to>
      <xdr:col>57</xdr:col>
      <xdr:colOff>371475</xdr:colOff>
      <xdr:row>57</xdr:row>
      <xdr:rowOff>28575</xdr:rowOff>
    </xdr:to>
    <xdr:sp>
      <xdr:nvSpPr>
        <xdr:cNvPr id="89" name="Comment 170" hidden="1"/>
        <xdr:cNvSpPr>
          <a:spLocks/>
        </xdr:cNvSpPr>
      </xdr:nvSpPr>
      <xdr:spPr>
        <a:xfrm>
          <a:off x="11953875" y="8229600"/>
          <a:ext cx="80962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3. pořadí</a:t>
          </a:r>
        </a:p>
      </xdr:txBody>
    </xdr:sp>
    <xdr:clientData/>
  </xdr:twoCellAnchor>
  <xdr:twoCellAnchor editAs="absolute">
    <xdr:from>
      <xdr:col>53</xdr:col>
      <xdr:colOff>0</xdr:colOff>
      <xdr:row>18</xdr:row>
      <xdr:rowOff>104775</xdr:rowOff>
    </xdr:from>
    <xdr:to>
      <xdr:col>54</xdr:col>
      <xdr:colOff>152400</xdr:colOff>
      <xdr:row>19</xdr:row>
      <xdr:rowOff>76200</xdr:rowOff>
    </xdr:to>
    <xdr:sp>
      <xdr:nvSpPr>
        <xdr:cNvPr id="90" name="Comment 171" hidden="1"/>
        <xdr:cNvSpPr>
          <a:spLocks/>
        </xdr:cNvSpPr>
      </xdr:nvSpPr>
      <xdr:spPr>
        <a:xfrm>
          <a:off x="9953625" y="3943350"/>
          <a:ext cx="7620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2+1+1+1+1</a:t>
          </a:r>
        </a:p>
      </xdr:txBody>
    </xdr:sp>
    <xdr:clientData/>
  </xdr:twoCellAnchor>
  <xdr:twoCellAnchor editAs="absolute">
    <xdr:from>
      <xdr:col>52</xdr:col>
      <xdr:colOff>257175</xdr:colOff>
      <xdr:row>18</xdr:row>
      <xdr:rowOff>114300</xdr:rowOff>
    </xdr:from>
    <xdr:to>
      <xdr:col>53</xdr:col>
      <xdr:colOff>561975</xdr:colOff>
      <xdr:row>19</xdr:row>
      <xdr:rowOff>85725</xdr:rowOff>
    </xdr:to>
    <xdr:sp>
      <xdr:nvSpPr>
        <xdr:cNvPr id="91" name="Comment 172" hidden="1"/>
        <xdr:cNvSpPr>
          <a:spLocks/>
        </xdr:cNvSpPr>
      </xdr:nvSpPr>
      <xdr:spPr>
        <a:xfrm>
          <a:off x="9601200" y="3952875"/>
          <a:ext cx="9144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1+1+1+1+1+1</a:t>
          </a:r>
        </a:p>
      </xdr:txBody>
    </xdr:sp>
    <xdr:clientData/>
  </xdr:twoCellAnchor>
  <xdr:twoCellAnchor editAs="absolute">
    <xdr:from>
      <xdr:col>53</xdr:col>
      <xdr:colOff>371475</xdr:colOff>
      <xdr:row>18</xdr:row>
      <xdr:rowOff>114300</xdr:rowOff>
    </xdr:from>
    <xdr:to>
      <xdr:col>54</xdr:col>
      <xdr:colOff>371475</xdr:colOff>
      <xdr:row>19</xdr:row>
      <xdr:rowOff>85725</xdr:rowOff>
    </xdr:to>
    <xdr:sp>
      <xdr:nvSpPr>
        <xdr:cNvPr id="92" name="Comment 173" hidden="1"/>
        <xdr:cNvSpPr>
          <a:spLocks/>
        </xdr:cNvSpPr>
      </xdr:nvSpPr>
      <xdr:spPr>
        <a:xfrm>
          <a:off x="10325100" y="3952875"/>
          <a:ext cx="6096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2+2+1+1</a:t>
          </a:r>
        </a:p>
      </xdr:txBody>
    </xdr:sp>
    <xdr:clientData/>
  </xdr:twoCellAnchor>
  <xdr:twoCellAnchor editAs="absolute">
    <xdr:from>
      <xdr:col>55</xdr:col>
      <xdr:colOff>419100</xdr:colOff>
      <xdr:row>18</xdr:row>
      <xdr:rowOff>114300</xdr:rowOff>
    </xdr:from>
    <xdr:to>
      <xdr:col>56</xdr:col>
      <xdr:colOff>266700</xdr:colOff>
      <xdr:row>19</xdr:row>
      <xdr:rowOff>85725</xdr:rowOff>
    </xdr:to>
    <xdr:sp>
      <xdr:nvSpPr>
        <xdr:cNvPr id="93" name="Comment 174" hidden="1"/>
        <xdr:cNvSpPr>
          <a:spLocks/>
        </xdr:cNvSpPr>
      </xdr:nvSpPr>
      <xdr:spPr>
        <a:xfrm>
          <a:off x="11591925" y="3952875"/>
          <a:ext cx="4572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3+2+1</a:t>
          </a:r>
        </a:p>
      </xdr:txBody>
    </xdr:sp>
    <xdr:clientData/>
  </xdr:twoCellAnchor>
  <xdr:twoCellAnchor editAs="absolute">
    <xdr:from>
      <xdr:col>56</xdr:col>
      <xdr:colOff>171450</xdr:colOff>
      <xdr:row>18</xdr:row>
      <xdr:rowOff>114300</xdr:rowOff>
    </xdr:from>
    <xdr:to>
      <xdr:col>56</xdr:col>
      <xdr:colOff>476250</xdr:colOff>
      <xdr:row>19</xdr:row>
      <xdr:rowOff>85725</xdr:rowOff>
    </xdr:to>
    <xdr:sp>
      <xdr:nvSpPr>
        <xdr:cNvPr id="94" name="Comment 175" hidden="1"/>
        <xdr:cNvSpPr>
          <a:spLocks/>
        </xdr:cNvSpPr>
      </xdr:nvSpPr>
      <xdr:spPr>
        <a:xfrm>
          <a:off x="11953875" y="3952875"/>
          <a:ext cx="3048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3+3</a:t>
          </a:r>
        </a:p>
      </xdr:txBody>
    </xdr:sp>
    <xdr:clientData/>
  </xdr:twoCellAnchor>
  <xdr:twoCellAnchor editAs="absolute">
    <xdr:from>
      <xdr:col>56</xdr:col>
      <xdr:colOff>533400</xdr:colOff>
      <xdr:row>18</xdr:row>
      <xdr:rowOff>114300</xdr:rowOff>
    </xdr:from>
    <xdr:to>
      <xdr:col>57</xdr:col>
      <xdr:colOff>381000</xdr:colOff>
      <xdr:row>19</xdr:row>
      <xdr:rowOff>85725</xdr:rowOff>
    </xdr:to>
    <xdr:sp>
      <xdr:nvSpPr>
        <xdr:cNvPr id="95" name="Comment 176" hidden="1"/>
        <xdr:cNvSpPr>
          <a:spLocks/>
        </xdr:cNvSpPr>
      </xdr:nvSpPr>
      <xdr:spPr>
        <a:xfrm>
          <a:off x="12315825" y="3952875"/>
          <a:ext cx="4572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4+1+1</a:t>
          </a:r>
        </a:p>
      </xdr:txBody>
    </xdr:sp>
    <xdr:clientData/>
  </xdr:twoCellAnchor>
  <xdr:twoCellAnchor editAs="absolute">
    <xdr:from>
      <xdr:col>56</xdr:col>
      <xdr:colOff>333375</xdr:colOff>
      <xdr:row>25</xdr:row>
      <xdr:rowOff>266700</xdr:rowOff>
    </xdr:from>
    <xdr:to>
      <xdr:col>57</xdr:col>
      <xdr:colOff>238125</xdr:colOff>
      <xdr:row>27</xdr:row>
      <xdr:rowOff>9525</xdr:rowOff>
    </xdr:to>
    <xdr:sp>
      <xdr:nvSpPr>
        <xdr:cNvPr id="96" name="Comment 177" hidden="1"/>
        <xdr:cNvSpPr>
          <a:spLocks/>
        </xdr:cNvSpPr>
      </xdr:nvSpPr>
      <xdr:spPr>
        <a:xfrm>
          <a:off x="12115800" y="6600825"/>
          <a:ext cx="5143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čtverné
pořadí</a:t>
          </a:r>
        </a:p>
      </xdr:txBody>
    </xdr:sp>
    <xdr:clientData/>
  </xdr:twoCellAnchor>
  <xdr:twoCellAnchor editAs="absolute">
    <xdr:from>
      <xdr:col>56</xdr:col>
      <xdr:colOff>352425</xdr:colOff>
      <xdr:row>26</xdr:row>
      <xdr:rowOff>104775</xdr:rowOff>
    </xdr:from>
    <xdr:to>
      <xdr:col>58</xdr:col>
      <xdr:colOff>152400</xdr:colOff>
      <xdr:row>28</xdr:row>
      <xdr:rowOff>28575</xdr:rowOff>
    </xdr:to>
    <xdr:sp>
      <xdr:nvSpPr>
        <xdr:cNvPr id="97" name="Comment 178" hidden="1"/>
        <xdr:cNvSpPr>
          <a:spLocks/>
        </xdr:cNvSpPr>
      </xdr:nvSpPr>
      <xdr:spPr>
        <a:xfrm>
          <a:off x="12134850" y="681990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čtverného pořadí</a:t>
          </a:r>
        </a:p>
      </xdr:txBody>
    </xdr:sp>
    <xdr:clientData/>
  </xdr:twoCellAnchor>
  <xdr:twoCellAnchor editAs="absolute">
    <xdr:from>
      <xdr:col>56</xdr:col>
      <xdr:colOff>352425</xdr:colOff>
      <xdr:row>27</xdr:row>
      <xdr:rowOff>104775</xdr:rowOff>
    </xdr:from>
    <xdr:to>
      <xdr:col>58</xdr:col>
      <xdr:colOff>152400</xdr:colOff>
      <xdr:row>29</xdr:row>
      <xdr:rowOff>28575</xdr:rowOff>
    </xdr:to>
    <xdr:sp>
      <xdr:nvSpPr>
        <xdr:cNvPr id="98" name="Comment 179" hidden="1"/>
        <xdr:cNvSpPr>
          <a:spLocks/>
        </xdr:cNvSpPr>
      </xdr:nvSpPr>
      <xdr:spPr>
        <a:xfrm>
          <a:off x="12134850" y="701992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čtverného pořadí</a:t>
          </a:r>
        </a:p>
      </xdr:txBody>
    </xdr:sp>
    <xdr:clientData/>
  </xdr:twoCellAnchor>
  <xdr:twoCellAnchor editAs="absolute">
    <xdr:from>
      <xdr:col>56</xdr:col>
      <xdr:colOff>352425</xdr:colOff>
      <xdr:row>28</xdr:row>
      <xdr:rowOff>104775</xdr:rowOff>
    </xdr:from>
    <xdr:to>
      <xdr:col>58</xdr:col>
      <xdr:colOff>152400</xdr:colOff>
      <xdr:row>30</xdr:row>
      <xdr:rowOff>28575</xdr:rowOff>
    </xdr:to>
    <xdr:sp>
      <xdr:nvSpPr>
        <xdr:cNvPr id="99" name="Comment 180" hidden="1"/>
        <xdr:cNvSpPr>
          <a:spLocks/>
        </xdr:cNvSpPr>
      </xdr:nvSpPr>
      <xdr:spPr>
        <a:xfrm>
          <a:off x="12134850" y="721995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čtverného pořadí</a:t>
          </a:r>
        </a:p>
      </xdr:txBody>
    </xdr:sp>
    <xdr:clientData/>
  </xdr:twoCellAnchor>
  <xdr:twoCellAnchor editAs="absolute">
    <xdr:from>
      <xdr:col>56</xdr:col>
      <xdr:colOff>352425</xdr:colOff>
      <xdr:row>29</xdr:row>
      <xdr:rowOff>104775</xdr:rowOff>
    </xdr:from>
    <xdr:to>
      <xdr:col>58</xdr:col>
      <xdr:colOff>152400</xdr:colOff>
      <xdr:row>31</xdr:row>
      <xdr:rowOff>28575</xdr:rowOff>
    </xdr:to>
    <xdr:sp>
      <xdr:nvSpPr>
        <xdr:cNvPr id="100" name="Comment 181" hidden="1"/>
        <xdr:cNvSpPr>
          <a:spLocks/>
        </xdr:cNvSpPr>
      </xdr:nvSpPr>
      <xdr:spPr>
        <a:xfrm>
          <a:off x="12134850" y="741997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4. řádek
čtverného pořadí</a:t>
          </a:r>
        </a:p>
      </xdr:txBody>
    </xdr:sp>
    <xdr:clientData/>
  </xdr:twoCellAnchor>
  <xdr:twoCellAnchor editAs="absolute">
    <xdr:from>
      <xdr:col>56</xdr:col>
      <xdr:colOff>352425</xdr:colOff>
      <xdr:row>30</xdr:row>
      <xdr:rowOff>104775</xdr:rowOff>
    </xdr:from>
    <xdr:to>
      <xdr:col>58</xdr:col>
      <xdr:colOff>152400</xdr:colOff>
      <xdr:row>32</xdr:row>
      <xdr:rowOff>28575</xdr:rowOff>
    </xdr:to>
    <xdr:sp>
      <xdr:nvSpPr>
        <xdr:cNvPr id="101" name="Comment 182" hidden="1"/>
        <xdr:cNvSpPr>
          <a:spLocks/>
        </xdr:cNvSpPr>
      </xdr:nvSpPr>
      <xdr:spPr>
        <a:xfrm>
          <a:off x="12134850" y="762000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56</xdr:col>
      <xdr:colOff>533400</xdr:colOff>
      <xdr:row>30</xdr:row>
      <xdr:rowOff>104775</xdr:rowOff>
    </xdr:from>
    <xdr:to>
      <xdr:col>58</xdr:col>
      <xdr:colOff>333375</xdr:colOff>
      <xdr:row>32</xdr:row>
      <xdr:rowOff>28575</xdr:rowOff>
    </xdr:to>
    <xdr:sp>
      <xdr:nvSpPr>
        <xdr:cNvPr id="102" name="Comment 183" hidden="1"/>
        <xdr:cNvSpPr>
          <a:spLocks/>
        </xdr:cNvSpPr>
      </xdr:nvSpPr>
      <xdr:spPr>
        <a:xfrm>
          <a:off x="12315825" y="762000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56</xdr:col>
      <xdr:colOff>352425</xdr:colOff>
      <xdr:row>31</xdr:row>
      <xdr:rowOff>104775</xdr:rowOff>
    </xdr:from>
    <xdr:to>
      <xdr:col>58</xdr:col>
      <xdr:colOff>152400</xdr:colOff>
      <xdr:row>33</xdr:row>
      <xdr:rowOff>28575</xdr:rowOff>
    </xdr:to>
    <xdr:sp>
      <xdr:nvSpPr>
        <xdr:cNvPr id="103" name="Comment 188" hidden="1"/>
        <xdr:cNvSpPr>
          <a:spLocks/>
        </xdr:cNvSpPr>
      </xdr:nvSpPr>
      <xdr:spPr>
        <a:xfrm>
          <a:off x="12134850" y="782002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56</xdr:col>
      <xdr:colOff>352425</xdr:colOff>
      <xdr:row>32</xdr:row>
      <xdr:rowOff>104775</xdr:rowOff>
    </xdr:from>
    <xdr:to>
      <xdr:col>58</xdr:col>
      <xdr:colOff>152400</xdr:colOff>
      <xdr:row>56</xdr:row>
      <xdr:rowOff>19050</xdr:rowOff>
    </xdr:to>
    <xdr:sp>
      <xdr:nvSpPr>
        <xdr:cNvPr id="104" name="Comment 189" hidden="1"/>
        <xdr:cNvSpPr>
          <a:spLocks/>
        </xdr:cNvSpPr>
      </xdr:nvSpPr>
      <xdr:spPr>
        <a:xfrm>
          <a:off x="12134850" y="8020050"/>
          <a:ext cx="10191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56</xdr:col>
      <xdr:colOff>352425</xdr:colOff>
      <xdr:row>33</xdr:row>
      <xdr:rowOff>114300</xdr:rowOff>
    </xdr:from>
    <xdr:to>
      <xdr:col>58</xdr:col>
      <xdr:colOff>152400</xdr:colOff>
      <xdr:row>57</xdr:row>
      <xdr:rowOff>28575</xdr:rowOff>
    </xdr:to>
    <xdr:sp>
      <xdr:nvSpPr>
        <xdr:cNvPr id="105" name="Comment 190" hidden="1"/>
        <xdr:cNvSpPr>
          <a:spLocks/>
        </xdr:cNvSpPr>
      </xdr:nvSpPr>
      <xdr:spPr>
        <a:xfrm>
          <a:off x="12134850" y="8229600"/>
          <a:ext cx="10191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56</xdr:col>
      <xdr:colOff>352425</xdr:colOff>
      <xdr:row>57</xdr:row>
      <xdr:rowOff>76200</xdr:rowOff>
    </xdr:from>
    <xdr:to>
      <xdr:col>58</xdr:col>
      <xdr:colOff>152400</xdr:colOff>
      <xdr:row>59</xdr:row>
      <xdr:rowOff>19050</xdr:rowOff>
    </xdr:to>
    <xdr:sp>
      <xdr:nvSpPr>
        <xdr:cNvPr id="106" name="Comment 191" hidden="1"/>
        <xdr:cNvSpPr>
          <a:spLocks/>
        </xdr:cNvSpPr>
      </xdr:nvSpPr>
      <xdr:spPr>
        <a:xfrm>
          <a:off x="12134850" y="8553450"/>
          <a:ext cx="1019175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56</xdr:col>
      <xdr:colOff>352425</xdr:colOff>
      <xdr:row>59</xdr:row>
      <xdr:rowOff>66675</xdr:rowOff>
    </xdr:from>
    <xdr:to>
      <xdr:col>58</xdr:col>
      <xdr:colOff>152400</xdr:colOff>
      <xdr:row>61</xdr:row>
      <xdr:rowOff>0</xdr:rowOff>
    </xdr:to>
    <xdr:sp>
      <xdr:nvSpPr>
        <xdr:cNvPr id="107" name="Comment 192" hidden="1"/>
        <xdr:cNvSpPr>
          <a:spLocks/>
        </xdr:cNvSpPr>
      </xdr:nvSpPr>
      <xdr:spPr>
        <a:xfrm>
          <a:off x="12134850" y="8905875"/>
          <a:ext cx="1019175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56</xdr:col>
      <xdr:colOff>533400</xdr:colOff>
      <xdr:row>31</xdr:row>
      <xdr:rowOff>104775</xdr:rowOff>
    </xdr:from>
    <xdr:to>
      <xdr:col>58</xdr:col>
      <xdr:colOff>333375</xdr:colOff>
      <xdr:row>33</xdr:row>
      <xdr:rowOff>28575</xdr:rowOff>
    </xdr:to>
    <xdr:sp>
      <xdr:nvSpPr>
        <xdr:cNvPr id="108" name="Comment 198" hidden="1"/>
        <xdr:cNvSpPr>
          <a:spLocks/>
        </xdr:cNvSpPr>
      </xdr:nvSpPr>
      <xdr:spPr>
        <a:xfrm>
          <a:off x="12315825" y="782002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56</xdr:col>
      <xdr:colOff>533400</xdr:colOff>
      <xdr:row>32</xdr:row>
      <xdr:rowOff>104775</xdr:rowOff>
    </xdr:from>
    <xdr:to>
      <xdr:col>58</xdr:col>
      <xdr:colOff>333375</xdr:colOff>
      <xdr:row>56</xdr:row>
      <xdr:rowOff>19050</xdr:rowOff>
    </xdr:to>
    <xdr:sp>
      <xdr:nvSpPr>
        <xdr:cNvPr id="109" name="Comment 199" hidden="1"/>
        <xdr:cNvSpPr>
          <a:spLocks/>
        </xdr:cNvSpPr>
      </xdr:nvSpPr>
      <xdr:spPr>
        <a:xfrm>
          <a:off x="12315825" y="8020050"/>
          <a:ext cx="10191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56</xdr:col>
      <xdr:colOff>533400</xdr:colOff>
      <xdr:row>33</xdr:row>
      <xdr:rowOff>114300</xdr:rowOff>
    </xdr:from>
    <xdr:to>
      <xdr:col>58</xdr:col>
      <xdr:colOff>333375</xdr:colOff>
      <xdr:row>57</xdr:row>
      <xdr:rowOff>28575</xdr:rowOff>
    </xdr:to>
    <xdr:sp>
      <xdr:nvSpPr>
        <xdr:cNvPr id="110" name="Comment 200" hidden="1"/>
        <xdr:cNvSpPr>
          <a:spLocks/>
        </xdr:cNvSpPr>
      </xdr:nvSpPr>
      <xdr:spPr>
        <a:xfrm>
          <a:off x="12315825" y="8229600"/>
          <a:ext cx="10191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56</xdr:col>
      <xdr:colOff>533400</xdr:colOff>
      <xdr:row>57</xdr:row>
      <xdr:rowOff>76200</xdr:rowOff>
    </xdr:from>
    <xdr:to>
      <xdr:col>58</xdr:col>
      <xdr:colOff>333375</xdr:colOff>
      <xdr:row>59</xdr:row>
      <xdr:rowOff>19050</xdr:rowOff>
    </xdr:to>
    <xdr:sp>
      <xdr:nvSpPr>
        <xdr:cNvPr id="111" name="Comment 201" hidden="1"/>
        <xdr:cNvSpPr>
          <a:spLocks/>
        </xdr:cNvSpPr>
      </xdr:nvSpPr>
      <xdr:spPr>
        <a:xfrm>
          <a:off x="12315825" y="8553450"/>
          <a:ext cx="1019175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56</xdr:col>
      <xdr:colOff>533400</xdr:colOff>
      <xdr:row>59</xdr:row>
      <xdr:rowOff>66675</xdr:rowOff>
    </xdr:from>
    <xdr:to>
      <xdr:col>58</xdr:col>
      <xdr:colOff>333375</xdr:colOff>
      <xdr:row>61</xdr:row>
      <xdr:rowOff>0</xdr:rowOff>
    </xdr:to>
    <xdr:sp>
      <xdr:nvSpPr>
        <xdr:cNvPr id="112" name="Comment 202" hidden="1"/>
        <xdr:cNvSpPr>
          <a:spLocks/>
        </xdr:cNvSpPr>
      </xdr:nvSpPr>
      <xdr:spPr>
        <a:xfrm>
          <a:off x="12315825" y="8905875"/>
          <a:ext cx="1019175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57</xdr:col>
      <xdr:colOff>285750</xdr:colOff>
      <xdr:row>25</xdr:row>
      <xdr:rowOff>285750</xdr:rowOff>
    </xdr:from>
    <xdr:to>
      <xdr:col>58</xdr:col>
      <xdr:colOff>190500</xdr:colOff>
      <xdr:row>27</xdr:row>
      <xdr:rowOff>28575</xdr:rowOff>
    </xdr:to>
    <xdr:sp>
      <xdr:nvSpPr>
        <xdr:cNvPr id="113" name="Comment 203" hidden="1"/>
        <xdr:cNvSpPr>
          <a:spLocks/>
        </xdr:cNvSpPr>
      </xdr:nvSpPr>
      <xdr:spPr>
        <a:xfrm>
          <a:off x="12677775" y="6619875"/>
          <a:ext cx="5143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čtverné
pořadí</a:t>
          </a:r>
        </a:p>
      </xdr:txBody>
    </xdr:sp>
    <xdr:clientData/>
  </xdr:twoCellAnchor>
  <xdr:twoCellAnchor editAs="absolute">
    <xdr:from>
      <xdr:col>57</xdr:col>
      <xdr:colOff>466725</xdr:colOff>
      <xdr:row>18</xdr:row>
      <xdr:rowOff>114300</xdr:rowOff>
    </xdr:from>
    <xdr:to>
      <xdr:col>58</xdr:col>
      <xdr:colOff>161925</xdr:colOff>
      <xdr:row>19</xdr:row>
      <xdr:rowOff>85725</xdr:rowOff>
    </xdr:to>
    <xdr:sp>
      <xdr:nvSpPr>
        <xdr:cNvPr id="114" name="Comment 204" hidden="1"/>
        <xdr:cNvSpPr>
          <a:spLocks/>
        </xdr:cNvSpPr>
      </xdr:nvSpPr>
      <xdr:spPr>
        <a:xfrm>
          <a:off x="12858750" y="3952875"/>
          <a:ext cx="3048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4+2</a:t>
          </a:r>
        </a:p>
      </xdr:txBody>
    </xdr:sp>
    <xdr:clientData/>
  </xdr:twoCellAnchor>
  <xdr:twoCellAnchor editAs="absolute">
    <xdr:from>
      <xdr:col>57</xdr:col>
      <xdr:colOff>285750</xdr:colOff>
      <xdr:row>26</xdr:row>
      <xdr:rowOff>104775</xdr:rowOff>
    </xdr:from>
    <xdr:to>
      <xdr:col>59</xdr:col>
      <xdr:colOff>85725</xdr:colOff>
      <xdr:row>28</xdr:row>
      <xdr:rowOff>28575</xdr:rowOff>
    </xdr:to>
    <xdr:sp>
      <xdr:nvSpPr>
        <xdr:cNvPr id="115" name="Comment 205" hidden="1"/>
        <xdr:cNvSpPr>
          <a:spLocks/>
        </xdr:cNvSpPr>
      </xdr:nvSpPr>
      <xdr:spPr>
        <a:xfrm>
          <a:off x="12677775" y="681990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čtverného pořadí</a:t>
          </a:r>
        </a:p>
      </xdr:txBody>
    </xdr:sp>
    <xdr:clientData/>
  </xdr:twoCellAnchor>
  <xdr:twoCellAnchor editAs="absolute">
    <xdr:from>
      <xdr:col>57</xdr:col>
      <xdr:colOff>285750</xdr:colOff>
      <xdr:row>27</xdr:row>
      <xdr:rowOff>104775</xdr:rowOff>
    </xdr:from>
    <xdr:to>
      <xdr:col>59</xdr:col>
      <xdr:colOff>19050</xdr:colOff>
      <xdr:row>29</xdr:row>
      <xdr:rowOff>28575</xdr:rowOff>
    </xdr:to>
    <xdr:sp>
      <xdr:nvSpPr>
        <xdr:cNvPr id="116" name="Comment 206" hidden="1"/>
        <xdr:cNvSpPr>
          <a:spLocks/>
        </xdr:cNvSpPr>
      </xdr:nvSpPr>
      <xdr:spPr>
        <a:xfrm>
          <a:off x="12677775" y="7019925"/>
          <a:ext cx="9525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čtvrného pořadí</a:t>
          </a:r>
        </a:p>
      </xdr:txBody>
    </xdr:sp>
    <xdr:clientData/>
  </xdr:twoCellAnchor>
  <xdr:twoCellAnchor editAs="absolute">
    <xdr:from>
      <xdr:col>57</xdr:col>
      <xdr:colOff>285750</xdr:colOff>
      <xdr:row>28</xdr:row>
      <xdr:rowOff>104775</xdr:rowOff>
    </xdr:from>
    <xdr:to>
      <xdr:col>59</xdr:col>
      <xdr:colOff>85725</xdr:colOff>
      <xdr:row>30</xdr:row>
      <xdr:rowOff>28575</xdr:rowOff>
    </xdr:to>
    <xdr:sp>
      <xdr:nvSpPr>
        <xdr:cNvPr id="117" name="Comment 207" hidden="1"/>
        <xdr:cNvSpPr>
          <a:spLocks/>
        </xdr:cNvSpPr>
      </xdr:nvSpPr>
      <xdr:spPr>
        <a:xfrm>
          <a:off x="12677775" y="721995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čtverného pořadí</a:t>
          </a:r>
        </a:p>
      </xdr:txBody>
    </xdr:sp>
    <xdr:clientData/>
  </xdr:twoCellAnchor>
  <xdr:twoCellAnchor editAs="absolute">
    <xdr:from>
      <xdr:col>57</xdr:col>
      <xdr:colOff>285750</xdr:colOff>
      <xdr:row>29</xdr:row>
      <xdr:rowOff>104775</xdr:rowOff>
    </xdr:from>
    <xdr:to>
      <xdr:col>59</xdr:col>
      <xdr:colOff>85725</xdr:colOff>
      <xdr:row>31</xdr:row>
      <xdr:rowOff>28575</xdr:rowOff>
    </xdr:to>
    <xdr:sp>
      <xdr:nvSpPr>
        <xdr:cNvPr id="118" name="Comment 208" hidden="1"/>
        <xdr:cNvSpPr>
          <a:spLocks/>
        </xdr:cNvSpPr>
      </xdr:nvSpPr>
      <xdr:spPr>
        <a:xfrm>
          <a:off x="12677775" y="741997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4. řádek
čtverného pořadí</a:t>
          </a:r>
        </a:p>
      </xdr:txBody>
    </xdr:sp>
    <xdr:clientData/>
  </xdr:twoCellAnchor>
  <xdr:twoCellAnchor editAs="absolute">
    <xdr:from>
      <xdr:col>57</xdr:col>
      <xdr:colOff>285750</xdr:colOff>
      <xdr:row>30</xdr:row>
      <xdr:rowOff>104775</xdr:rowOff>
    </xdr:from>
    <xdr:to>
      <xdr:col>59</xdr:col>
      <xdr:colOff>85725</xdr:colOff>
      <xdr:row>32</xdr:row>
      <xdr:rowOff>28575</xdr:rowOff>
    </xdr:to>
    <xdr:sp>
      <xdr:nvSpPr>
        <xdr:cNvPr id="119" name="Comment 209" hidden="1"/>
        <xdr:cNvSpPr>
          <a:spLocks/>
        </xdr:cNvSpPr>
      </xdr:nvSpPr>
      <xdr:spPr>
        <a:xfrm>
          <a:off x="12677775" y="762000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57</xdr:col>
      <xdr:colOff>466725</xdr:colOff>
      <xdr:row>30</xdr:row>
      <xdr:rowOff>104775</xdr:rowOff>
    </xdr:from>
    <xdr:to>
      <xdr:col>59</xdr:col>
      <xdr:colOff>266700</xdr:colOff>
      <xdr:row>32</xdr:row>
      <xdr:rowOff>28575</xdr:rowOff>
    </xdr:to>
    <xdr:sp>
      <xdr:nvSpPr>
        <xdr:cNvPr id="120" name="Comment 210" hidden="1"/>
        <xdr:cNvSpPr>
          <a:spLocks/>
        </xdr:cNvSpPr>
      </xdr:nvSpPr>
      <xdr:spPr>
        <a:xfrm>
          <a:off x="12858750" y="7620000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57</xdr:col>
      <xdr:colOff>285750</xdr:colOff>
      <xdr:row>31</xdr:row>
      <xdr:rowOff>104775</xdr:rowOff>
    </xdr:from>
    <xdr:to>
      <xdr:col>59</xdr:col>
      <xdr:colOff>85725</xdr:colOff>
      <xdr:row>33</xdr:row>
      <xdr:rowOff>28575</xdr:rowOff>
    </xdr:to>
    <xdr:sp>
      <xdr:nvSpPr>
        <xdr:cNvPr id="121" name="Comment 211" hidden="1"/>
        <xdr:cNvSpPr>
          <a:spLocks/>
        </xdr:cNvSpPr>
      </xdr:nvSpPr>
      <xdr:spPr>
        <a:xfrm>
          <a:off x="12677775" y="782002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57</xdr:col>
      <xdr:colOff>466725</xdr:colOff>
      <xdr:row>31</xdr:row>
      <xdr:rowOff>104775</xdr:rowOff>
    </xdr:from>
    <xdr:to>
      <xdr:col>59</xdr:col>
      <xdr:colOff>266700</xdr:colOff>
      <xdr:row>33</xdr:row>
      <xdr:rowOff>28575</xdr:rowOff>
    </xdr:to>
    <xdr:sp>
      <xdr:nvSpPr>
        <xdr:cNvPr id="122" name="Comment 212" hidden="1"/>
        <xdr:cNvSpPr>
          <a:spLocks/>
        </xdr:cNvSpPr>
      </xdr:nvSpPr>
      <xdr:spPr>
        <a:xfrm>
          <a:off x="12858750" y="7820025"/>
          <a:ext cx="10191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57</xdr:col>
      <xdr:colOff>285750</xdr:colOff>
      <xdr:row>32</xdr:row>
      <xdr:rowOff>104775</xdr:rowOff>
    </xdr:from>
    <xdr:to>
      <xdr:col>59</xdr:col>
      <xdr:colOff>85725</xdr:colOff>
      <xdr:row>56</xdr:row>
      <xdr:rowOff>19050</xdr:rowOff>
    </xdr:to>
    <xdr:sp>
      <xdr:nvSpPr>
        <xdr:cNvPr id="123" name="Comment 213" hidden="1"/>
        <xdr:cNvSpPr>
          <a:spLocks/>
        </xdr:cNvSpPr>
      </xdr:nvSpPr>
      <xdr:spPr>
        <a:xfrm>
          <a:off x="12677775" y="8020050"/>
          <a:ext cx="10191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57</xdr:col>
      <xdr:colOff>466725</xdr:colOff>
      <xdr:row>32</xdr:row>
      <xdr:rowOff>104775</xdr:rowOff>
    </xdr:from>
    <xdr:to>
      <xdr:col>59</xdr:col>
      <xdr:colOff>266700</xdr:colOff>
      <xdr:row>56</xdr:row>
      <xdr:rowOff>19050</xdr:rowOff>
    </xdr:to>
    <xdr:sp>
      <xdr:nvSpPr>
        <xdr:cNvPr id="124" name="Comment 214" hidden="1"/>
        <xdr:cNvSpPr>
          <a:spLocks/>
        </xdr:cNvSpPr>
      </xdr:nvSpPr>
      <xdr:spPr>
        <a:xfrm>
          <a:off x="12858750" y="8020050"/>
          <a:ext cx="101917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57</xdr:col>
      <xdr:colOff>285750</xdr:colOff>
      <xdr:row>33</xdr:row>
      <xdr:rowOff>114300</xdr:rowOff>
    </xdr:from>
    <xdr:to>
      <xdr:col>59</xdr:col>
      <xdr:colOff>85725</xdr:colOff>
      <xdr:row>57</xdr:row>
      <xdr:rowOff>28575</xdr:rowOff>
    </xdr:to>
    <xdr:sp>
      <xdr:nvSpPr>
        <xdr:cNvPr id="125" name="Comment 215" hidden="1"/>
        <xdr:cNvSpPr>
          <a:spLocks/>
        </xdr:cNvSpPr>
      </xdr:nvSpPr>
      <xdr:spPr>
        <a:xfrm>
          <a:off x="12677775" y="8229600"/>
          <a:ext cx="10191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57</xdr:col>
      <xdr:colOff>466725</xdr:colOff>
      <xdr:row>33</xdr:row>
      <xdr:rowOff>114300</xdr:rowOff>
    </xdr:from>
    <xdr:to>
      <xdr:col>59</xdr:col>
      <xdr:colOff>266700</xdr:colOff>
      <xdr:row>57</xdr:row>
      <xdr:rowOff>28575</xdr:rowOff>
    </xdr:to>
    <xdr:sp>
      <xdr:nvSpPr>
        <xdr:cNvPr id="126" name="Comment 216" hidden="1"/>
        <xdr:cNvSpPr>
          <a:spLocks/>
        </xdr:cNvSpPr>
      </xdr:nvSpPr>
      <xdr:spPr>
        <a:xfrm>
          <a:off x="12858750" y="8229600"/>
          <a:ext cx="1019175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57</xdr:col>
      <xdr:colOff>285750</xdr:colOff>
      <xdr:row>57</xdr:row>
      <xdr:rowOff>76200</xdr:rowOff>
    </xdr:from>
    <xdr:to>
      <xdr:col>59</xdr:col>
      <xdr:colOff>85725</xdr:colOff>
      <xdr:row>59</xdr:row>
      <xdr:rowOff>19050</xdr:rowOff>
    </xdr:to>
    <xdr:sp>
      <xdr:nvSpPr>
        <xdr:cNvPr id="127" name="Comment 217" hidden="1"/>
        <xdr:cNvSpPr>
          <a:spLocks/>
        </xdr:cNvSpPr>
      </xdr:nvSpPr>
      <xdr:spPr>
        <a:xfrm>
          <a:off x="12677775" y="8553450"/>
          <a:ext cx="1019175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57</xdr:col>
      <xdr:colOff>466725</xdr:colOff>
      <xdr:row>57</xdr:row>
      <xdr:rowOff>76200</xdr:rowOff>
    </xdr:from>
    <xdr:to>
      <xdr:col>59</xdr:col>
      <xdr:colOff>266700</xdr:colOff>
      <xdr:row>59</xdr:row>
      <xdr:rowOff>19050</xdr:rowOff>
    </xdr:to>
    <xdr:sp>
      <xdr:nvSpPr>
        <xdr:cNvPr id="128" name="Comment 218" hidden="1"/>
        <xdr:cNvSpPr>
          <a:spLocks/>
        </xdr:cNvSpPr>
      </xdr:nvSpPr>
      <xdr:spPr>
        <a:xfrm>
          <a:off x="12858750" y="8553450"/>
          <a:ext cx="1019175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57</xdr:col>
      <xdr:colOff>285750</xdr:colOff>
      <xdr:row>59</xdr:row>
      <xdr:rowOff>66675</xdr:rowOff>
    </xdr:from>
    <xdr:to>
      <xdr:col>59</xdr:col>
      <xdr:colOff>85725</xdr:colOff>
      <xdr:row>61</xdr:row>
      <xdr:rowOff>0</xdr:rowOff>
    </xdr:to>
    <xdr:sp>
      <xdr:nvSpPr>
        <xdr:cNvPr id="129" name="Comment 219" hidden="1"/>
        <xdr:cNvSpPr>
          <a:spLocks/>
        </xdr:cNvSpPr>
      </xdr:nvSpPr>
      <xdr:spPr>
        <a:xfrm>
          <a:off x="12677775" y="8905875"/>
          <a:ext cx="1019175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čtverného pořadí</a:t>
          </a:r>
        </a:p>
      </xdr:txBody>
    </xdr:sp>
    <xdr:clientData/>
  </xdr:twoCellAnchor>
  <xdr:twoCellAnchor editAs="absolute">
    <xdr:from>
      <xdr:col>57</xdr:col>
      <xdr:colOff>466725</xdr:colOff>
      <xdr:row>59</xdr:row>
      <xdr:rowOff>66675</xdr:rowOff>
    </xdr:from>
    <xdr:to>
      <xdr:col>59</xdr:col>
      <xdr:colOff>266700</xdr:colOff>
      <xdr:row>61</xdr:row>
      <xdr:rowOff>0</xdr:rowOff>
    </xdr:to>
    <xdr:sp>
      <xdr:nvSpPr>
        <xdr:cNvPr id="130" name="Comment 220" hidden="1"/>
        <xdr:cNvSpPr>
          <a:spLocks/>
        </xdr:cNvSpPr>
      </xdr:nvSpPr>
      <xdr:spPr>
        <a:xfrm>
          <a:off x="12858750" y="8905875"/>
          <a:ext cx="1019175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čtverného pořadí</a:t>
          </a:r>
        </a:p>
      </xdr:txBody>
    </xdr:sp>
    <xdr:clientData/>
  </xdr:twoCellAnchor>
  <xdr:twoCellAnchor editAs="absolute">
    <xdr:from>
      <xdr:col>57</xdr:col>
      <xdr:colOff>466725</xdr:colOff>
      <xdr:row>25</xdr:row>
      <xdr:rowOff>285750</xdr:rowOff>
    </xdr:from>
    <xdr:to>
      <xdr:col>58</xdr:col>
      <xdr:colOff>333375</xdr:colOff>
      <xdr:row>27</xdr:row>
      <xdr:rowOff>28575</xdr:rowOff>
    </xdr:to>
    <xdr:sp>
      <xdr:nvSpPr>
        <xdr:cNvPr id="131" name="Comment 221" hidden="1"/>
        <xdr:cNvSpPr>
          <a:spLocks/>
        </xdr:cNvSpPr>
      </xdr:nvSpPr>
      <xdr:spPr>
        <a:xfrm>
          <a:off x="12858750" y="6619875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57</xdr:col>
      <xdr:colOff>466725</xdr:colOff>
      <xdr:row>26</xdr:row>
      <xdr:rowOff>104775</xdr:rowOff>
    </xdr:from>
    <xdr:to>
      <xdr:col>59</xdr:col>
      <xdr:colOff>228600</xdr:colOff>
      <xdr:row>28</xdr:row>
      <xdr:rowOff>28575</xdr:rowOff>
    </xdr:to>
    <xdr:sp>
      <xdr:nvSpPr>
        <xdr:cNvPr id="132" name="Comment 222" hidden="1"/>
        <xdr:cNvSpPr>
          <a:spLocks/>
        </xdr:cNvSpPr>
      </xdr:nvSpPr>
      <xdr:spPr>
        <a:xfrm>
          <a:off x="12858750" y="68199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párového pořadí</a:t>
          </a:r>
        </a:p>
      </xdr:txBody>
    </xdr:sp>
    <xdr:clientData/>
  </xdr:twoCellAnchor>
  <xdr:twoCellAnchor editAs="absolute">
    <xdr:from>
      <xdr:col>57</xdr:col>
      <xdr:colOff>466725</xdr:colOff>
      <xdr:row>27</xdr:row>
      <xdr:rowOff>104775</xdr:rowOff>
    </xdr:from>
    <xdr:to>
      <xdr:col>59</xdr:col>
      <xdr:colOff>228600</xdr:colOff>
      <xdr:row>29</xdr:row>
      <xdr:rowOff>28575</xdr:rowOff>
    </xdr:to>
    <xdr:sp>
      <xdr:nvSpPr>
        <xdr:cNvPr id="133" name="Comment 223" hidden="1"/>
        <xdr:cNvSpPr>
          <a:spLocks/>
        </xdr:cNvSpPr>
      </xdr:nvSpPr>
      <xdr:spPr>
        <a:xfrm>
          <a:off x="12858750" y="70199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párového pořadí</a:t>
          </a:r>
        </a:p>
      </xdr:txBody>
    </xdr:sp>
    <xdr:clientData/>
  </xdr:twoCellAnchor>
  <xdr:twoCellAnchor editAs="absolute">
    <xdr:from>
      <xdr:col>57</xdr:col>
      <xdr:colOff>447675</xdr:colOff>
      <xdr:row>28</xdr:row>
      <xdr:rowOff>85725</xdr:rowOff>
    </xdr:from>
    <xdr:to>
      <xdr:col>59</xdr:col>
      <xdr:colOff>209550</xdr:colOff>
      <xdr:row>30</xdr:row>
      <xdr:rowOff>9525</xdr:rowOff>
    </xdr:to>
    <xdr:sp>
      <xdr:nvSpPr>
        <xdr:cNvPr id="134" name="Comment 224" hidden="1"/>
        <xdr:cNvSpPr>
          <a:spLocks/>
        </xdr:cNvSpPr>
      </xdr:nvSpPr>
      <xdr:spPr>
        <a:xfrm>
          <a:off x="12839700" y="7200900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párového pořadí</a:t>
          </a:r>
        </a:p>
      </xdr:txBody>
    </xdr:sp>
    <xdr:clientData/>
  </xdr:twoCellAnchor>
  <xdr:twoCellAnchor editAs="absolute">
    <xdr:from>
      <xdr:col>57</xdr:col>
      <xdr:colOff>457200</xdr:colOff>
      <xdr:row>29</xdr:row>
      <xdr:rowOff>95250</xdr:rowOff>
    </xdr:from>
    <xdr:to>
      <xdr:col>59</xdr:col>
      <xdr:colOff>238125</xdr:colOff>
      <xdr:row>31</xdr:row>
      <xdr:rowOff>171450</xdr:rowOff>
    </xdr:to>
    <xdr:sp>
      <xdr:nvSpPr>
        <xdr:cNvPr id="135" name="Comment 225" hidden="1"/>
        <xdr:cNvSpPr>
          <a:spLocks/>
        </xdr:cNvSpPr>
      </xdr:nvSpPr>
      <xdr:spPr>
        <a:xfrm>
          <a:off x="12849225" y="7410450"/>
          <a:ext cx="100012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párového pořadí</a:t>
          </a:r>
        </a:p>
      </xdr:txBody>
    </xdr:sp>
    <xdr:clientData/>
  </xdr:twoCellAnchor>
  <xdr:twoCellAnchor editAs="absolute">
    <xdr:from>
      <xdr:col>58</xdr:col>
      <xdr:colOff>219075</xdr:colOff>
      <xdr:row>18</xdr:row>
      <xdr:rowOff>114300</xdr:rowOff>
    </xdr:from>
    <xdr:to>
      <xdr:col>58</xdr:col>
      <xdr:colOff>523875</xdr:colOff>
      <xdr:row>19</xdr:row>
      <xdr:rowOff>85725</xdr:rowOff>
    </xdr:to>
    <xdr:sp>
      <xdr:nvSpPr>
        <xdr:cNvPr id="136" name="Comment 226" hidden="1"/>
        <xdr:cNvSpPr>
          <a:spLocks/>
        </xdr:cNvSpPr>
      </xdr:nvSpPr>
      <xdr:spPr>
        <a:xfrm>
          <a:off x="13220700" y="3952875"/>
          <a:ext cx="304800" cy="180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5+1</a:t>
          </a:r>
        </a:p>
      </xdr:txBody>
    </xdr:sp>
    <xdr:clientData/>
  </xdr:twoCellAnchor>
  <xdr:twoCellAnchor editAs="absolute">
    <xdr:from>
      <xdr:col>58</xdr:col>
      <xdr:colOff>38100</xdr:colOff>
      <xdr:row>25</xdr:row>
      <xdr:rowOff>285750</xdr:rowOff>
    </xdr:from>
    <xdr:to>
      <xdr:col>58</xdr:col>
      <xdr:colOff>561975</xdr:colOff>
      <xdr:row>27</xdr:row>
      <xdr:rowOff>28575</xdr:rowOff>
    </xdr:to>
    <xdr:sp>
      <xdr:nvSpPr>
        <xdr:cNvPr id="137" name="Comment 227" hidden="1"/>
        <xdr:cNvSpPr>
          <a:spLocks/>
        </xdr:cNvSpPr>
      </xdr:nvSpPr>
      <xdr:spPr>
        <a:xfrm>
          <a:off x="13039725" y="6619875"/>
          <a:ext cx="5238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paterné
pořadí</a:t>
          </a:r>
        </a:p>
      </xdr:txBody>
    </xdr:sp>
    <xdr:clientData/>
  </xdr:twoCellAnchor>
  <xdr:twoCellAnchor editAs="absolute">
    <xdr:from>
      <xdr:col>58</xdr:col>
      <xdr:colOff>219075</xdr:colOff>
      <xdr:row>25</xdr:row>
      <xdr:rowOff>104775</xdr:rowOff>
    </xdr:from>
    <xdr:to>
      <xdr:col>60</xdr:col>
      <xdr:colOff>28575</xdr:colOff>
      <xdr:row>26</xdr:row>
      <xdr:rowOff>47625</xdr:rowOff>
    </xdr:to>
    <xdr:sp>
      <xdr:nvSpPr>
        <xdr:cNvPr id="138" name="Comment 228" hidden="1"/>
        <xdr:cNvSpPr>
          <a:spLocks/>
        </xdr:cNvSpPr>
      </xdr:nvSpPr>
      <xdr:spPr>
        <a:xfrm>
          <a:off x="13220700" y="6438900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paterného pořadí</a:t>
          </a:r>
        </a:p>
      </xdr:txBody>
    </xdr:sp>
    <xdr:clientData/>
  </xdr:twoCellAnchor>
  <xdr:twoCellAnchor editAs="absolute">
    <xdr:from>
      <xdr:col>58</xdr:col>
      <xdr:colOff>38100</xdr:colOff>
      <xdr:row>26</xdr:row>
      <xdr:rowOff>104775</xdr:rowOff>
    </xdr:from>
    <xdr:to>
      <xdr:col>59</xdr:col>
      <xdr:colOff>457200</xdr:colOff>
      <xdr:row>28</xdr:row>
      <xdr:rowOff>28575</xdr:rowOff>
    </xdr:to>
    <xdr:sp>
      <xdr:nvSpPr>
        <xdr:cNvPr id="139" name="Comment 229" hidden="1"/>
        <xdr:cNvSpPr>
          <a:spLocks/>
        </xdr:cNvSpPr>
      </xdr:nvSpPr>
      <xdr:spPr>
        <a:xfrm>
          <a:off x="13039725" y="6819900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paterného pořadí</a:t>
          </a:r>
        </a:p>
      </xdr:txBody>
    </xdr:sp>
    <xdr:clientData/>
  </xdr:twoCellAnchor>
  <xdr:twoCellAnchor editAs="absolute">
    <xdr:from>
      <xdr:col>58</xdr:col>
      <xdr:colOff>219075</xdr:colOff>
      <xdr:row>26</xdr:row>
      <xdr:rowOff>104775</xdr:rowOff>
    </xdr:from>
    <xdr:to>
      <xdr:col>60</xdr:col>
      <xdr:colOff>28575</xdr:colOff>
      <xdr:row>28</xdr:row>
      <xdr:rowOff>28575</xdr:rowOff>
    </xdr:to>
    <xdr:sp>
      <xdr:nvSpPr>
        <xdr:cNvPr id="140" name="Comment 230" hidden="1"/>
        <xdr:cNvSpPr>
          <a:spLocks/>
        </xdr:cNvSpPr>
      </xdr:nvSpPr>
      <xdr:spPr>
        <a:xfrm>
          <a:off x="13220700" y="6819900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paterného pořadí</a:t>
          </a:r>
        </a:p>
      </xdr:txBody>
    </xdr:sp>
    <xdr:clientData/>
  </xdr:twoCellAnchor>
  <xdr:twoCellAnchor editAs="absolute">
    <xdr:from>
      <xdr:col>58</xdr:col>
      <xdr:colOff>38100</xdr:colOff>
      <xdr:row>27</xdr:row>
      <xdr:rowOff>104775</xdr:rowOff>
    </xdr:from>
    <xdr:to>
      <xdr:col>59</xdr:col>
      <xdr:colOff>457200</xdr:colOff>
      <xdr:row>29</xdr:row>
      <xdr:rowOff>28575</xdr:rowOff>
    </xdr:to>
    <xdr:sp>
      <xdr:nvSpPr>
        <xdr:cNvPr id="141" name="Comment 231" hidden="1"/>
        <xdr:cNvSpPr>
          <a:spLocks/>
        </xdr:cNvSpPr>
      </xdr:nvSpPr>
      <xdr:spPr>
        <a:xfrm>
          <a:off x="13039725" y="7019925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4. řádek
paterného pořadí</a:t>
          </a:r>
        </a:p>
      </xdr:txBody>
    </xdr:sp>
    <xdr:clientData/>
  </xdr:twoCellAnchor>
  <xdr:twoCellAnchor editAs="absolute">
    <xdr:from>
      <xdr:col>58</xdr:col>
      <xdr:colOff>219075</xdr:colOff>
      <xdr:row>27</xdr:row>
      <xdr:rowOff>104775</xdr:rowOff>
    </xdr:from>
    <xdr:to>
      <xdr:col>60</xdr:col>
      <xdr:colOff>28575</xdr:colOff>
      <xdr:row>29</xdr:row>
      <xdr:rowOff>28575</xdr:rowOff>
    </xdr:to>
    <xdr:sp>
      <xdr:nvSpPr>
        <xdr:cNvPr id="142" name="Comment 232" hidden="1"/>
        <xdr:cNvSpPr>
          <a:spLocks/>
        </xdr:cNvSpPr>
      </xdr:nvSpPr>
      <xdr:spPr>
        <a:xfrm>
          <a:off x="13220700" y="7019925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4. řádek
paterného pořadí</a:t>
          </a:r>
        </a:p>
      </xdr:txBody>
    </xdr:sp>
    <xdr:clientData/>
  </xdr:twoCellAnchor>
  <xdr:twoCellAnchor editAs="absolute">
    <xdr:from>
      <xdr:col>58</xdr:col>
      <xdr:colOff>38100</xdr:colOff>
      <xdr:row>28</xdr:row>
      <xdr:rowOff>104775</xdr:rowOff>
    </xdr:from>
    <xdr:to>
      <xdr:col>59</xdr:col>
      <xdr:colOff>457200</xdr:colOff>
      <xdr:row>30</xdr:row>
      <xdr:rowOff>28575</xdr:rowOff>
    </xdr:to>
    <xdr:sp>
      <xdr:nvSpPr>
        <xdr:cNvPr id="143" name="Comment 233" hidden="1"/>
        <xdr:cNvSpPr>
          <a:spLocks/>
        </xdr:cNvSpPr>
      </xdr:nvSpPr>
      <xdr:spPr>
        <a:xfrm>
          <a:off x="13039725" y="7219950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219075</xdr:colOff>
      <xdr:row>28</xdr:row>
      <xdr:rowOff>104775</xdr:rowOff>
    </xdr:from>
    <xdr:to>
      <xdr:col>60</xdr:col>
      <xdr:colOff>28575</xdr:colOff>
      <xdr:row>30</xdr:row>
      <xdr:rowOff>28575</xdr:rowOff>
    </xdr:to>
    <xdr:sp>
      <xdr:nvSpPr>
        <xdr:cNvPr id="144" name="Comment 234" hidden="1"/>
        <xdr:cNvSpPr>
          <a:spLocks/>
        </xdr:cNvSpPr>
      </xdr:nvSpPr>
      <xdr:spPr>
        <a:xfrm>
          <a:off x="13220700" y="7219950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38100</xdr:colOff>
      <xdr:row>29</xdr:row>
      <xdr:rowOff>104775</xdr:rowOff>
    </xdr:from>
    <xdr:to>
      <xdr:col>59</xdr:col>
      <xdr:colOff>457200</xdr:colOff>
      <xdr:row>31</xdr:row>
      <xdr:rowOff>28575</xdr:rowOff>
    </xdr:to>
    <xdr:sp>
      <xdr:nvSpPr>
        <xdr:cNvPr id="145" name="Comment 235" hidden="1"/>
        <xdr:cNvSpPr>
          <a:spLocks/>
        </xdr:cNvSpPr>
      </xdr:nvSpPr>
      <xdr:spPr>
        <a:xfrm>
          <a:off x="13039725" y="7419975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38100</xdr:colOff>
      <xdr:row>30</xdr:row>
      <xdr:rowOff>104775</xdr:rowOff>
    </xdr:from>
    <xdr:to>
      <xdr:col>59</xdr:col>
      <xdr:colOff>457200</xdr:colOff>
      <xdr:row>32</xdr:row>
      <xdr:rowOff>28575</xdr:rowOff>
    </xdr:to>
    <xdr:sp>
      <xdr:nvSpPr>
        <xdr:cNvPr id="146" name="Comment 236" hidden="1"/>
        <xdr:cNvSpPr>
          <a:spLocks/>
        </xdr:cNvSpPr>
      </xdr:nvSpPr>
      <xdr:spPr>
        <a:xfrm>
          <a:off x="13039725" y="7620000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38100</xdr:colOff>
      <xdr:row>31</xdr:row>
      <xdr:rowOff>104775</xdr:rowOff>
    </xdr:from>
    <xdr:to>
      <xdr:col>59</xdr:col>
      <xdr:colOff>457200</xdr:colOff>
      <xdr:row>33</xdr:row>
      <xdr:rowOff>28575</xdr:rowOff>
    </xdr:to>
    <xdr:sp>
      <xdr:nvSpPr>
        <xdr:cNvPr id="147" name="Comment 237" hidden="1"/>
        <xdr:cNvSpPr>
          <a:spLocks/>
        </xdr:cNvSpPr>
      </xdr:nvSpPr>
      <xdr:spPr>
        <a:xfrm>
          <a:off x="13039725" y="7820025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38100</xdr:colOff>
      <xdr:row>32</xdr:row>
      <xdr:rowOff>104775</xdr:rowOff>
    </xdr:from>
    <xdr:to>
      <xdr:col>59</xdr:col>
      <xdr:colOff>457200</xdr:colOff>
      <xdr:row>56</xdr:row>
      <xdr:rowOff>19050</xdr:rowOff>
    </xdr:to>
    <xdr:sp>
      <xdr:nvSpPr>
        <xdr:cNvPr id="148" name="Comment 238" hidden="1"/>
        <xdr:cNvSpPr>
          <a:spLocks/>
        </xdr:cNvSpPr>
      </xdr:nvSpPr>
      <xdr:spPr>
        <a:xfrm>
          <a:off x="13039725" y="8020050"/>
          <a:ext cx="102870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38100</xdr:colOff>
      <xdr:row>33</xdr:row>
      <xdr:rowOff>114300</xdr:rowOff>
    </xdr:from>
    <xdr:to>
      <xdr:col>59</xdr:col>
      <xdr:colOff>457200</xdr:colOff>
      <xdr:row>57</xdr:row>
      <xdr:rowOff>28575</xdr:rowOff>
    </xdr:to>
    <xdr:sp>
      <xdr:nvSpPr>
        <xdr:cNvPr id="149" name="Comment 239" hidden="1"/>
        <xdr:cNvSpPr>
          <a:spLocks/>
        </xdr:cNvSpPr>
      </xdr:nvSpPr>
      <xdr:spPr>
        <a:xfrm>
          <a:off x="13039725" y="8229600"/>
          <a:ext cx="1028700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38100</xdr:colOff>
      <xdr:row>57</xdr:row>
      <xdr:rowOff>76200</xdr:rowOff>
    </xdr:from>
    <xdr:to>
      <xdr:col>59</xdr:col>
      <xdr:colOff>457200</xdr:colOff>
      <xdr:row>59</xdr:row>
      <xdr:rowOff>19050</xdr:rowOff>
    </xdr:to>
    <xdr:sp>
      <xdr:nvSpPr>
        <xdr:cNvPr id="150" name="Comment 240" hidden="1"/>
        <xdr:cNvSpPr>
          <a:spLocks/>
        </xdr:cNvSpPr>
      </xdr:nvSpPr>
      <xdr:spPr>
        <a:xfrm>
          <a:off x="13039725" y="8553450"/>
          <a:ext cx="1028700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38100</xdr:colOff>
      <xdr:row>59</xdr:row>
      <xdr:rowOff>66675</xdr:rowOff>
    </xdr:from>
    <xdr:to>
      <xdr:col>59</xdr:col>
      <xdr:colOff>457200</xdr:colOff>
      <xdr:row>61</xdr:row>
      <xdr:rowOff>0</xdr:rowOff>
    </xdr:to>
    <xdr:sp>
      <xdr:nvSpPr>
        <xdr:cNvPr id="151" name="Comment 241" hidden="1"/>
        <xdr:cNvSpPr>
          <a:spLocks/>
        </xdr:cNvSpPr>
      </xdr:nvSpPr>
      <xdr:spPr>
        <a:xfrm>
          <a:off x="13039725" y="8905875"/>
          <a:ext cx="1028700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38100</xdr:colOff>
      <xdr:row>61</xdr:row>
      <xdr:rowOff>47625</xdr:rowOff>
    </xdr:from>
    <xdr:to>
      <xdr:col>59</xdr:col>
      <xdr:colOff>457200</xdr:colOff>
      <xdr:row>62</xdr:row>
      <xdr:rowOff>142875</xdr:rowOff>
    </xdr:to>
    <xdr:sp>
      <xdr:nvSpPr>
        <xdr:cNvPr id="152" name="Comment 242" hidden="1"/>
        <xdr:cNvSpPr>
          <a:spLocks/>
        </xdr:cNvSpPr>
      </xdr:nvSpPr>
      <xdr:spPr>
        <a:xfrm>
          <a:off x="13039725" y="9248775"/>
          <a:ext cx="1028700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38100</xdr:colOff>
      <xdr:row>63</xdr:row>
      <xdr:rowOff>28575</xdr:rowOff>
    </xdr:from>
    <xdr:to>
      <xdr:col>59</xdr:col>
      <xdr:colOff>457200</xdr:colOff>
      <xdr:row>64</xdr:row>
      <xdr:rowOff>133350</xdr:rowOff>
    </xdr:to>
    <xdr:sp>
      <xdr:nvSpPr>
        <xdr:cNvPr id="153" name="Comment 243" hidden="1"/>
        <xdr:cNvSpPr>
          <a:spLocks/>
        </xdr:cNvSpPr>
      </xdr:nvSpPr>
      <xdr:spPr>
        <a:xfrm>
          <a:off x="13039725" y="9553575"/>
          <a:ext cx="1028700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paterného pořadí</a:t>
          </a:r>
        </a:p>
      </xdr:txBody>
    </xdr:sp>
    <xdr:clientData/>
  </xdr:twoCellAnchor>
  <xdr:twoCellAnchor editAs="absolute">
    <xdr:from>
      <xdr:col>58</xdr:col>
      <xdr:colOff>219075</xdr:colOff>
      <xdr:row>29</xdr:row>
      <xdr:rowOff>104775</xdr:rowOff>
    </xdr:from>
    <xdr:to>
      <xdr:col>60</xdr:col>
      <xdr:colOff>28575</xdr:colOff>
      <xdr:row>31</xdr:row>
      <xdr:rowOff>28575</xdr:rowOff>
    </xdr:to>
    <xdr:sp>
      <xdr:nvSpPr>
        <xdr:cNvPr id="154" name="Comment 244" hidden="1"/>
        <xdr:cNvSpPr>
          <a:spLocks/>
        </xdr:cNvSpPr>
      </xdr:nvSpPr>
      <xdr:spPr>
        <a:xfrm>
          <a:off x="13220700" y="7419975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219075</xdr:colOff>
      <xdr:row>30</xdr:row>
      <xdr:rowOff>104775</xdr:rowOff>
    </xdr:from>
    <xdr:to>
      <xdr:col>60</xdr:col>
      <xdr:colOff>28575</xdr:colOff>
      <xdr:row>32</xdr:row>
      <xdr:rowOff>28575</xdr:rowOff>
    </xdr:to>
    <xdr:sp>
      <xdr:nvSpPr>
        <xdr:cNvPr id="155" name="Comment 245" hidden="1"/>
        <xdr:cNvSpPr>
          <a:spLocks/>
        </xdr:cNvSpPr>
      </xdr:nvSpPr>
      <xdr:spPr>
        <a:xfrm>
          <a:off x="13220700" y="7620000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219075</xdr:colOff>
      <xdr:row>31</xdr:row>
      <xdr:rowOff>104775</xdr:rowOff>
    </xdr:from>
    <xdr:to>
      <xdr:col>60</xdr:col>
      <xdr:colOff>28575</xdr:colOff>
      <xdr:row>33</xdr:row>
      <xdr:rowOff>28575</xdr:rowOff>
    </xdr:to>
    <xdr:sp>
      <xdr:nvSpPr>
        <xdr:cNvPr id="156" name="Comment 246" hidden="1"/>
        <xdr:cNvSpPr>
          <a:spLocks/>
        </xdr:cNvSpPr>
      </xdr:nvSpPr>
      <xdr:spPr>
        <a:xfrm>
          <a:off x="13220700" y="7820025"/>
          <a:ext cx="10287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219075</xdr:colOff>
      <xdr:row>32</xdr:row>
      <xdr:rowOff>104775</xdr:rowOff>
    </xdr:from>
    <xdr:to>
      <xdr:col>60</xdr:col>
      <xdr:colOff>28575</xdr:colOff>
      <xdr:row>56</xdr:row>
      <xdr:rowOff>19050</xdr:rowOff>
    </xdr:to>
    <xdr:sp>
      <xdr:nvSpPr>
        <xdr:cNvPr id="157" name="Comment 247" hidden="1"/>
        <xdr:cNvSpPr>
          <a:spLocks/>
        </xdr:cNvSpPr>
      </xdr:nvSpPr>
      <xdr:spPr>
        <a:xfrm>
          <a:off x="13220700" y="8020050"/>
          <a:ext cx="102870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219075</xdr:colOff>
      <xdr:row>33</xdr:row>
      <xdr:rowOff>114300</xdr:rowOff>
    </xdr:from>
    <xdr:to>
      <xdr:col>60</xdr:col>
      <xdr:colOff>28575</xdr:colOff>
      <xdr:row>57</xdr:row>
      <xdr:rowOff>28575</xdr:rowOff>
    </xdr:to>
    <xdr:sp>
      <xdr:nvSpPr>
        <xdr:cNvPr id="158" name="Comment 248" hidden="1"/>
        <xdr:cNvSpPr>
          <a:spLocks/>
        </xdr:cNvSpPr>
      </xdr:nvSpPr>
      <xdr:spPr>
        <a:xfrm>
          <a:off x="13220700" y="8229600"/>
          <a:ext cx="1028700" cy="276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219075</xdr:colOff>
      <xdr:row>57</xdr:row>
      <xdr:rowOff>76200</xdr:rowOff>
    </xdr:from>
    <xdr:to>
      <xdr:col>60</xdr:col>
      <xdr:colOff>28575</xdr:colOff>
      <xdr:row>59</xdr:row>
      <xdr:rowOff>19050</xdr:rowOff>
    </xdr:to>
    <xdr:sp>
      <xdr:nvSpPr>
        <xdr:cNvPr id="159" name="Comment 249" hidden="1"/>
        <xdr:cNvSpPr>
          <a:spLocks/>
        </xdr:cNvSpPr>
      </xdr:nvSpPr>
      <xdr:spPr>
        <a:xfrm>
          <a:off x="13220700" y="8553450"/>
          <a:ext cx="1028700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219075</xdr:colOff>
      <xdr:row>59</xdr:row>
      <xdr:rowOff>66675</xdr:rowOff>
    </xdr:from>
    <xdr:to>
      <xdr:col>60</xdr:col>
      <xdr:colOff>28575</xdr:colOff>
      <xdr:row>61</xdr:row>
      <xdr:rowOff>0</xdr:rowOff>
    </xdr:to>
    <xdr:sp>
      <xdr:nvSpPr>
        <xdr:cNvPr id="160" name="Comment 250" hidden="1"/>
        <xdr:cNvSpPr>
          <a:spLocks/>
        </xdr:cNvSpPr>
      </xdr:nvSpPr>
      <xdr:spPr>
        <a:xfrm>
          <a:off x="13220700" y="8905875"/>
          <a:ext cx="1028700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219075</xdr:colOff>
      <xdr:row>61</xdr:row>
      <xdr:rowOff>47625</xdr:rowOff>
    </xdr:from>
    <xdr:to>
      <xdr:col>60</xdr:col>
      <xdr:colOff>28575</xdr:colOff>
      <xdr:row>62</xdr:row>
      <xdr:rowOff>142875</xdr:rowOff>
    </xdr:to>
    <xdr:sp>
      <xdr:nvSpPr>
        <xdr:cNvPr id="161" name="Comment 251" hidden="1"/>
        <xdr:cNvSpPr>
          <a:spLocks/>
        </xdr:cNvSpPr>
      </xdr:nvSpPr>
      <xdr:spPr>
        <a:xfrm>
          <a:off x="13220700" y="9248775"/>
          <a:ext cx="1028700" cy="2571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  <xdr:twoCellAnchor editAs="absolute">
    <xdr:from>
      <xdr:col>58</xdr:col>
      <xdr:colOff>219075</xdr:colOff>
      <xdr:row>63</xdr:row>
      <xdr:rowOff>28575</xdr:rowOff>
    </xdr:from>
    <xdr:to>
      <xdr:col>60</xdr:col>
      <xdr:colOff>28575</xdr:colOff>
      <xdr:row>64</xdr:row>
      <xdr:rowOff>133350</xdr:rowOff>
    </xdr:to>
    <xdr:sp>
      <xdr:nvSpPr>
        <xdr:cNvPr id="162" name="Comment 252" hidden="1"/>
        <xdr:cNvSpPr>
          <a:spLocks/>
        </xdr:cNvSpPr>
      </xdr:nvSpPr>
      <xdr:spPr>
        <a:xfrm>
          <a:off x="13220700" y="9553575"/>
          <a:ext cx="1028700" cy="266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paterného pořadí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3</xdr:row>
      <xdr:rowOff>152400</xdr:rowOff>
    </xdr:from>
    <xdr:to>
      <xdr:col>12</xdr:col>
      <xdr:colOff>0</xdr:colOff>
      <xdr:row>4</xdr:row>
      <xdr:rowOff>219075</xdr:rowOff>
    </xdr:to>
    <xdr:sp>
      <xdr:nvSpPr>
        <xdr:cNvPr id="1" name="Comment 1" hidden="1"/>
        <xdr:cNvSpPr>
          <a:spLocks/>
        </xdr:cNvSpPr>
      </xdr:nvSpPr>
      <xdr:spPr>
        <a:xfrm>
          <a:off x="2724150" y="990600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20</xdr:col>
      <xdr:colOff>114300</xdr:colOff>
      <xdr:row>3</xdr:row>
      <xdr:rowOff>152400</xdr:rowOff>
    </xdr:from>
    <xdr:to>
      <xdr:col>21</xdr:col>
      <xdr:colOff>95250</xdr:colOff>
      <xdr:row>4</xdr:row>
      <xdr:rowOff>219075</xdr:rowOff>
    </xdr:to>
    <xdr:sp>
      <xdr:nvSpPr>
        <xdr:cNvPr id="2" name="Comment 2" hidden="1"/>
        <xdr:cNvSpPr>
          <a:spLocks/>
        </xdr:cNvSpPr>
      </xdr:nvSpPr>
      <xdr:spPr>
        <a:xfrm>
          <a:off x="7067550" y="990600"/>
          <a:ext cx="5905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16</xdr:col>
      <xdr:colOff>314325</xdr:colOff>
      <xdr:row>7</xdr:row>
      <xdr:rowOff>66675</xdr:rowOff>
    </xdr:from>
    <xdr:to>
      <xdr:col>18</xdr:col>
      <xdr:colOff>561975</xdr:colOff>
      <xdr:row>8</xdr:row>
      <xdr:rowOff>142875</xdr:rowOff>
    </xdr:to>
    <xdr:sp>
      <xdr:nvSpPr>
        <xdr:cNvPr id="3" name="Comment 3" hidden="1"/>
        <xdr:cNvSpPr>
          <a:spLocks/>
        </xdr:cNvSpPr>
      </xdr:nvSpPr>
      <xdr:spPr>
        <a:xfrm>
          <a:off x="5153025" y="1895475"/>
          <a:ext cx="1143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114300</xdr:colOff>
      <xdr:row>7</xdr:row>
      <xdr:rowOff>66675</xdr:rowOff>
    </xdr:from>
    <xdr:to>
      <xdr:col>20</xdr:col>
      <xdr:colOff>28575</xdr:colOff>
      <xdr:row>8</xdr:row>
      <xdr:rowOff>142875</xdr:rowOff>
    </xdr:to>
    <xdr:sp>
      <xdr:nvSpPr>
        <xdr:cNvPr id="4" name="Comment 4" hidden="1"/>
        <xdr:cNvSpPr>
          <a:spLocks/>
        </xdr:cNvSpPr>
      </xdr:nvSpPr>
      <xdr:spPr>
        <a:xfrm>
          <a:off x="5848350" y="1895475"/>
          <a:ext cx="11334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7</xdr:col>
      <xdr:colOff>114300</xdr:colOff>
      <xdr:row>26</xdr:row>
      <xdr:rowOff>123825</xdr:rowOff>
    </xdr:from>
    <xdr:to>
      <xdr:col>10</xdr:col>
      <xdr:colOff>238125</xdr:colOff>
      <xdr:row>28</xdr:row>
      <xdr:rowOff>133350</xdr:rowOff>
    </xdr:to>
    <xdr:sp>
      <xdr:nvSpPr>
        <xdr:cNvPr id="5" name="Comment 5" hidden="1"/>
        <xdr:cNvSpPr>
          <a:spLocks/>
        </xdr:cNvSpPr>
      </xdr:nvSpPr>
      <xdr:spPr>
        <a:xfrm>
          <a:off x="2190750" y="6467475"/>
          <a:ext cx="1133475" cy="5048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ze třetích míst
základních skupin</a:t>
          </a:r>
        </a:p>
      </xdr:txBody>
    </xdr:sp>
    <xdr:clientData/>
  </xdr:twoCellAnchor>
  <xdr:twoCellAnchor editAs="absolute">
    <xdr:from>
      <xdr:col>9</xdr:col>
      <xdr:colOff>38100</xdr:colOff>
      <xdr:row>28</xdr:row>
      <xdr:rowOff>0</xdr:rowOff>
    </xdr:from>
    <xdr:to>
      <xdr:col>10</xdr:col>
      <xdr:colOff>371475</xdr:colOff>
      <xdr:row>29</xdr:row>
      <xdr:rowOff>95250</xdr:rowOff>
    </xdr:to>
    <xdr:sp>
      <xdr:nvSpPr>
        <xdr:cNvPr id="6" name="Comment 6" hidden="1"/>
        <xdr:cNvSpPr>
          <a:spLocks/>
        </xdr:cNvSpPr>
      </xdr:nvSpPr>
      <xdr:spPr>
        <a:xfrm>
          <a:off x="2676525" y="6838950"/>
          <a:ext cx="781050" cy="3429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křížové
semifinále 1</a:t>
          </a:r>
        </a:p>
      </xdr:txBody>
    </xdr:sp>
    <xdr:clientData/>
  </xdr:twoCellAnchor>
  <xdr:twoCellAnchor editAs="absolute">
    <xdr:from>
      <xdr:col>7</xdr:col>
      <xdr:colOff>123825</xdr:colOff>
      <xdr:row>28</xdr:row>
      <xdr:rowOff>133350</xdr:rowOff>
    </xdr:from>
    <xdr:to>
      <xdr:col>9</xdr:col>
      <xdr:colOff>342900</xdr:colOff>
      <xdr:row>29</xdr:row>
      <xdr:rowOff>219075</xdr:rowOff>
    </xdr:to>
    <xdr:sp>
      <xdr:nvSpPr>
        <xdr:cNvPr id="7" name="Comment 7" hidden="1"/>
        <xdr:cNvSpPr>
          <a:spLocks/>
        </xdr:cNvSpPr>
      </xdr:nvSpPr>
      <xdr:spPr>
        <a:xfrm>
          <a:off x="2200275" y="6972300"/>
          <a:ext cx="7810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křížové
semifinále 2</a:t>
          </a:r>
        </a:p>
      </xdr:txBody>
    </xdr:sp>
    <xdr:clientData/>
  </xdr:twoCellAnchor>
  <xdr:twoCellAnchor editAs="absolute">
    <xdr:from>
      <xdr:col>7</xdr:col>
      <xdr:colOff>123825</xdr:colOff>
      <xdr:row>29</xdr:row>
      <xdr:rowOff>133350</xdr:rowOff>
    </xdr:from>
    <xdr:to>
      <xdr:col>9</xdr:col>
      <xdr:colOff>390525</xdr:colOff>
      <xdr:row>30</xdr:row>
      <xdr:rowOff>219075</xdr:rowOff>
    </xdr:to>
    <xdr:sp>
      <xdr:nvSpPr>
        <xdr:cNvPr id="8" name="Comment 8" hidden="1"/>
        <xdr:cNvSpPr>
          <a:spLocks/>
        </xdr:cNvSpPr>
      </xdr:nvSpPr>
      <xdr:spPr>
        <a:xfrm>
          <a:off x="2200275" y="7219950"/>
          <a:ext cx="8286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poražení
ze semifinále</a:t>
          </a:r>
        </a:p>
      </xdr:txBody>
    </xdr:sp>
    <xdr:clientData/>
  </xdr:twoCellAnchor>
  <xdr:twoCellAnchor editAs="absolute">
    <xdr:from>
      <xdr:col>7</xdr:col>
      <xdr:colOff>123825</xdr:colOff>
      <xdr:row>30</xdr:row>
      <xdr:rowOff>133350</xdr:rowOff>
    </xdr:from>
    <xdr:to>
      <xdr:col>9</xdr:col>
      <xdr:colOff>390525</xdr:colOff>
      <xdr:row>31</xdr:row>
      <xdr:rowOff>219075</xdr:rowOff>
    </xdr:to>
    <xdr:sp>
      <xdr:nvSpPr>
        <xdr:cNvPr id="9" name="Comment 9" hidden="1"/>
        <xdr:cNvSpPr>
          <a:spLocks/>
        </xdr:cNvSpPr>
      </xdr:nvSpPr>
      <xdr:spPr>
        <a:xfrm>
          <a:off x="2200275" y="7467600"/>
          <a:ext cx="8286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vítězové
ze semifinále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3</xdr:row>
      <xdr:rowOff>161925</xdr:rowOff>
    </xdr:from>
    <xdr:to>
      <xdr:col>12</xdr:col>
      <xdr:colOff>0</xdr:colOff>
      <xdr:row>4</xdr:row>
      <xdr:rowOff>228600</xdr:rowOff>
    </xdr:to>
    <xdr:sp>
      <xdr:nvSpPr>
        <xdr:cNvPr id="1" name="Comment 1" hidden="1"/>
        <xdr:cNvSpPr>
          <a:spLocks/>
        </xdr:cNvSpPr>
      </xdr:nvSpPr>
      <xdr:spPr>
        <a:xfrm>
          <a:off x="2724150" y="990600"/>
          <a:ext cx="923925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20</xdr:col>
      <xdr:colOff>114300</xdr:colOff>
      <xdr:row>3</xdr:row>
      <xdr:rowOff>161925</xdr:rowOff>
    </xdr:from>
    <xdr:to>
      <xdr:col>21</xdr:col>
      <xdr:colOff>95250</xdr:colOff>
      <xdr:row>4</xdr:row>
      <xdr:rowOff>228600</xdr:rowOff>
    </xdr:to>
    <xdr:sp>
      <xdr:nvSpPr>
        <xdr:cNvPr id="2" name="Comment 2" hidden="1"/>
        <xdr:cNvSpPr>
          <a:spLocks/>
        </xdr:cNvSpPr>
      </xdr:nvSpPr>
      <xdr:spPr>
        <a:xfrm>
          <a:off x="7067550" y="990600"/>
          <a:ext cx="5905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16</xdr:col>
      <xdr:colOff>314325</xdr:colOff>
      <xdr:row>7</xdr:row>
      <xdr:rowOff>0</xdr:rowOff>
    </xdr:from>
    <xdr:to>
      <xdr:col>18</xdr:col>
      <xdr:colOff>561975</xdr:colOff>
      <xdr:row>8</xdr:row>
      <xdr:rowOff>76200</xdr:rowOff>
    </xdr:to>
    <xdr:sp>
      <xdr:nvSpPr>
        <xdr:cNvPr id="3" name="Comment 3" hidden="1"/>
        <xdr:cNvSpPr>
          <a:spLocks/>
        </xdr:cNvSpPr>
      </xdr:nvSpPr>
      <xdr:spPr>
        <a:xfrm>
          <a:off x="5153025" y="1819275"/>
          <a:ext cx="1143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114300</xdr:colOff>
      <xdr:row>7</xdr:row>
      <xdr:rowOff>0</xdr:rowOff>
    </xdr:from>
    <xdr:to>
      <xdr:col>20</xdr:col>
      <xdr:colOff>28575</xdr:colOff>
      <xdr:row>8</xdr:row>
      <xdr:rowOff>76200</xdr:rowOff>
    </xdr:to>
    <xdr:sp>
      <xdr:nvSpPr>
        <xdr:cNvPr id="4" name="Comment 4" hidden="1"/>
        <xdr:cNvSpPr>
          <a:spLocks/>
        </xdr:cNvSpPr>
      </xdr:nvSpPr>
      <xdr:spPr>
        <a:xfrm>
          <a:off x="5848350" y="1819275"/>
          <a:ext cx="11334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7</xdr:col>
      <xdr:colOff>123825</xdr:colOff>
      <xdr:row>26</xdr:row>
      <xdr:rowOff>133350</xdr:rowOff>
    </xdr:from>
    <xdr:to>
      <xdr:col>9</xdr:col>
      <xdr:colOff>247650</xdr:colOff>
      <xdr:row>27</xdr:row>
      <xdr:rowOff>219075</xdr:rowOff>
    </xdr:to>
    <xdr:sp>
      <xdr:nvSpPr>
        <xdr:cNvPr id="5" name="Comment 5" hidden="1"/>
        <xdr:cNvSpPr>
          <a:spLocks/>
        </xdr:cNvSpPr>
      </xdr:nvSpPr>
      <xdr:spPr>
        <a:xfrm>
          <a:off x="2200275" y="6467475"/>
          <a:ext cx="6858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
o 5. místo</a:t>
          </a:r>
        </a:p>
      </xdr:txBody>
    </xdr:sp>
    <xdr:clientData/>
  </xdr:twoCellAnchor>
  <xdr:twoCellAnchor editAs="absolute">
    <xdr:from>
      <xdr:col>7</xdr:col>
      <xdr:colOff>123825</xdr:colOff>
      <xdr:row>27</xdr:row>
      <xdr:rowOff>133350</xdr:rowOff>
    </xdr:from>
    <xdr:to>
      <xdr:col>9</xdr:col>
      <xdr:colOff>247650</xdr:colOff>
      <xdr:row>28</xdr:row>
      <xdr:rowOff>219075</xdr:rowOff>
    </xdr:to>
    <xdr:sp>
      <xdr:nvSpPr>
        <xdr:cNvPr id="6" name="Comment 6" hidden="1"/>
        <xdr:cNvSpPr>
          <a:spLocks/>
        </xdr:cNvSpPr>
      </xdr:nvSpPr>
      <xdr:spPr>
        <a:xfrm>
          <a:off x="2200275" y="6715125"/>
          <a:ext cx="6858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
o 3. místo</a:t>
          </a:r>
        </a:p>
      </xdr:txBody>
    </xdr:sp>
    <xdr:clientData/>
  </xdr:twoCellAnchor>
  <xdr:twoCellAnchor editAs="absolute">
    <xdr:from>
      <xdr:col>7</xdr:col>
      <xdr:colOff>123825</xdr:colOff>
      <xdr:row>28</xdr:row>
      <xdr:rowOff>133350</xdr:rowOff>
    </xdr:from>
    <xdr:to>
      <xdr:col>9</xdr:col>
      <xdr:colOff>247650</xdr:colOff>
      <xdr:row>29</xdr:row>
      <xdr:rowOff>219075</xdr:rowOff>
    </xdr:to>
    <xdr:sp>
      <xdr:nvSpPr>
        <xdr:cNvPr id="7" name="Comment 7" hidden="1"/>
        <xdr:cNvSpPr>
          <a:spLocks/>
        </xdr:cNvSpPr>
      </xdr:nvSpPr>
      <xdr:spPr>
        <a:xfrm>
          <a:off x="2200275" y="6962775"/>
          <a:ext cx="6858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
o 1. místo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3</xdr:row>
      <xdr:rowOff>180975</xdr:rowOff>
    </xdr:from>
    <xdr:to>
      <xdr:col>12</xdr:col>
      <xdr:colOff>0</xdr:colOff>
      <xdr:row>5</xdr:row>
      <xdr:rowOff>19050</xdr:rowOff>
    </xdr:to>
    <xdr:sp>
      <xdr:nvSpPr>
        <xdr:cNvPr id="1" name="Comment 1" hidden="1"/>
        <xdr:cNvSpPr>
          <a:spLocks/>
        </xdr:cNvSpPr>
      </xdr:nvSpPr>
      <xdr:spPr>
        <a:xfrm>
          <a:off x="2724150" y="100965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19</xdr:col>
      <xdr:colOff>142875</xdr:colOff>
      <xdr:row>3</xdr:row>
      <xdr:rowOff>200025</xdr:rowOff>
    </xdr:from>
    <xdr:to>
      <xdr:col>20</xdr:col>
      <xdr:colOff>285750</xdr:colOff>
      <xdr:row>5</xdr:row>
      <xdr:rowOff>38100</xdr:rowOff>
    </xdr:to>
    <xdr:sp>
      <xdr:nvSpPr>
        <xdr:cNvPr id="2" name="Comment 2" hidden="1"/>
        <xdr:cNvSpPr>
          <a:spLocks/>
        </xdr:cNvSpPr>
      </xdr:nvSpPr>
      <xdr:spPr>
        <a:xfrm>
          <a:off x="5991225" y="1028700"/>
          <a:ext cx="5905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17</xdr:col>
      <xdr:colOff>28575</xdr:colOff>
      <xdr:row>9</xdr:row>
      <xdr:rowOff>9525</xdr:rowOff>
    </xdr:from>
    <xdr:to>
      <xdr:col>20</xdr:col>
      <xdr:colOff>295275</xdr:colOff>
      <xdr:row>10</xdr:row>
      <xdr:rowOff>85725</xdr:rowOff>
    </xdr:to>
    <xdr:sp>
      <xdr:nvSpPr>
        <xdr:cNvPr id="3" name="Comment 3" hidden="1"/>
        <xdr:cNvSpPr>
          <a:spLocks/>
        </xdr:cNvSpPr>
      </xdr:nvSpPr>
      <xdr:spPr>
        <a:xfrm>
          <a:off x="5448300" y="2324100"/>
          <a:ext cx="1143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85725</xdr:colOff>
      <xdr:row>9</xdr:row>
      <xdr:rowOff>9525</xdr:rowOff>
    </xdr:from>
    <xdr:to>
      <xdr:col>34</xdr:col>
      <xdr:colOff>9525</xdr:colOff>
      <xdr:row>10</xdr:row>
      <xdr:rowOff>85725</xdr:rowOff>
    </xdr:to>
    <xdr:sp>
      <xdr:nvSpPr>
        <xdr:cNvPr id="4" name="Comment 4" hidden="1"/>
        <xdr:cNvSpPr>
          <a:spLocks/>
        </xdr:cNvSpPr>
      </xdr:nvSpPr>
      <xdr:spPr>
        <a:xfrm>
          <a:off x="5619750" y="2324100"/>
          <a:ext cx="11334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37</xdr:col>
      <xdr:colOff>276225</xdr:colOff>
      <xdr:row>23</xdr:row>
      <xdr:rowOff>266700</xdr:rowOff>
    </xdr:from>
    <xdr:to>
      <xdr:col>38</xdr:col>
      <xdr:colOff>142875</xdr:colOff>
      <xdr:row>24</xdr:row>
      <xdr:rowOff>209550</xdr:rowOff>
    </xdr:to>
    <xdr:sp>
      <xdr:nvSpPr>
        <xdr:cNvPr id="5" name="Comment 5" hidden="1"/>
        <xdr:cNvSpPr>
          <a:spLocks/>
        </xdr:cNvSpPr>
      </xdr:nvSpPr>
      <xdr:spPr>
        <a:xfrm>
          <a:off x="8848725" y="6448425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37</xdr:col>
      <xdr:colOff>238125</xdr:colOff>
      <xdr:row>23</xdr:row>
      <xdr:rowOff>266700</xdr:rowOff>
    </xdr:from>
    <xdr:to>
      <xdr:col>38</xdr:col>
      <xdr:colOff>361950</xdr:colOff>
      <xdr:row>24</xdr:row>
      <xdr:rowOff>209550</xdr:rowOff>
    </xdr:to>
    <xdr:sp>
      <xdr:nvSpPr>
        <xdr:cNvPr id="6" name="Comment 6" hidden="1"/>
        <xdr:cNvSpPr>
          <a:spLocks/>
        </xdr:cNvSpPr>
      </xdr:nvSpPr>
      <xdr:spPr>
        <a:xfrm>
          <a:off x="8810625" y="6448425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1. párového</a:t>
          </a:r>
        </a:p>
      </xdr:txBody>
    </xdr:sp>
    <xdr:clientData/>
  </xdr:twoCellAnchor>
  <xdr:twoCellAnchor editAs="absolute">
    <xdr:from>
      <xdr:col>37</xdr:col>
      <xdr:colOff>238125</xdr:colOff>
      <xdr:row>42</xdr:row>
      <xdr:rowOff>123825</xdr:rowOff>
    </xdr:from>
    <xdr:to>
      <xdr:col>38</xdr:col>
      <xdr:colOff>361950</xdr:colOff>
      <xdr:row>43</xdr:row>
      <xdr:rowOff>200025</xdr:rowOff>
    </xdr:to>
    <xdr:sp>
      <xdr:nvSpPr>
        <xdr:cNvPr id="7" name="Comment 7" hidden="1"/>
        <xdr:cNvSpPr>
          <a:spLocks/>
        </xdr:cNvSpPr>
      </xdr:nvSpPr>
      <xdr:spPr>
        <a:xfrm>
          <a:off x="8810625" y="7067550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2. párového</a:t>
          </a:r>
        </a:p>
      </xdr:txBody>
    </xdr:sp>
    <xdr:clientData/>
  </xdr:twoCellAnchor>
  <xdr:twoCellAnchor editAs="absolute">
    <xdr:from>
      <xdr:col>37</xdr:col>
      <xdr:colOff>209550</xdr:colOff>
      <xdr:row>42</xdr:row>
      <xdr:rowOff>114300</xdr:rowOff>
    </xdr:from>
    <xdr:to>
      <xdr:col>38</xdr:col>
      <xdr:colOff>133350</xdr:colOff>
      <xdr:row>43</xdr:row>
      <xdr:rowOff>190500</xdr:rowOff>
    </xdr:to>
    <xdr:sp>
      <xdr:nvSpPr>
        <xdr:cNvPr id="8" name="Comment 8" hidden="1"/>
        <xdr:cNvSpPr>
          <a:spLocks/>
        </xdr:cNvSpPr>
      </xdr:nvSpPr>
      <xdr:spPr>
        <a:xfrm>
          <a:off x="8782050" y="7058025"/>
          <a:ext cx="5334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(utkání)</a:t>
          </a:r>
        </a:p>
      </xdr:txBody>
    </xdr:sp>
    <xdr:clientData/>
  </xdr:twoCellAnchor>
  <xdr:twoCellAnchor editAs="absolute">
    <xdr:from>
      <xdr:col>37</xdr:col>
      <xdr:colOff>190500</xdr:colOff>
      <xdr:row>42</xdr:row>
      <xdr:rowOff>104775</xdr:rowOff>
    </xdr:from>
    <xdr:to>
      <xdr:col>38</xdr:col>
      <xdr:colOff>19050</xdr:colOff>
      <xdr:row>43</xdr:row>
      <xdr:rowOff>180975</xdr:rowOff>
    </xdr:to>
    <xdr:sp>
      <xdr:nvSpPr>
        <xdr:cNvPr id="9" name="Comment 9" hidden="1"/>
        <xdr:cNvSpPr>
          <a:spLocks/>
        </xdr:cNvSpPr>
      </xdr:nvSpPr>
      <xdr:spPr>
        <a:xfrm>
          <a:off x="8763000" y="7048500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
utkání</a:t>
          </a:r>
        </a:p>
      </xdr:txBody>
    </xdr:sp>
    <xdr:clientData/>
  </xdr:twoCellAnchor>
  <xdr:twoCellAnchor editAs="absolute">
    <xdr:from>
      <xdr:col>37</xdr:col>
      <xdr:colOff>247650</xdr:colOff>
      <xdr:row>42</xdr:row>
      <xdr:rowOff>133350</xdr:rowOff>
    </xdr:from>
    <xdr:to>
      <xdr:col>39</xdr:col>
      <xdr:colOff>9525</xdr:colOff>
      <xdr:row>43</xdr:row>
      <xdr:rowOff>209550</xdr:rowOff>
    </xdr:to>
    <xdr:sp>
      <xdr:nvSpPr>
        <xdr:cNvPr id="10" name="Comment 10" hidden="1"/>
        <xdr:cNvSpPr>
          <a:spLocks/>
        </xdr:cNvSpPr>
      </xdr:nvSpPr>
      <xdr:spPr>
        <a:xfrm>
          <a:off x="8820150" y="707707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</a:t>
          </a:r>
        </a:p>
      </xdr:txBody>
    </xdr:sp>
    <xdr:clientData/>
  </xdr:twoCellAnchor>
  <xdr:twoCellAnchor editAs="absolute">
    <xdr:from>
      <xdr:col>38</xdr:col>
      <xdr:colOff>9525</xdr:colOff>
      <xdr:row>23</xdr:row>
      <xdr:rowOff>266700</xdr:rowOff>
    </xdr:from>
    <xdr:to>
      <xdr:col>39</xdr:col>
      <xdr:colOff>381000</xdr:colOff>
      <xdr:row>24</xdr:row>
      <xdr:rowOff>209550</xdr:rowOff>
    </xdr:to>
    <xdr:sp>
      <xdr:nvSpPr>
        <xdr:cNvPr id="11" name="Comment 11" hidden="1"/>
        <xdr:cNvSpPr>
          <a:spLocks/>
        </xdr:cNvSpPr>
      </xdr:nvSpPr>
      <xdr:spPr>
        <a:xfrm>
          <a:off x="9191625" y="6448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37</xdr:col>
      <xdr:colOff>581025</xdr:colOff>
      <xdr:row>23</xdr:row>
      <xdr:rowOff>266700</xdr:rowOff>
    </xdr:from>
    <xdr:to>
      <xdr:col>39</xdr:col>
      <xdr:colOff>342900</xdr:colOff>
      <xdr:row>24</xdr:row>
      <xdr:rowOff>209550</xdr:rowOff>
    </xdr:to>
    <xdr:sp>
      <xdr:nvSpPr>
        <xdr:cNvPr id="12" name="Comment 12" hidden="1"/>
        <xdr:cNvSpPr>
          <a:spLocks/>
        </xdr:cNvSpPr>
      </xdr:nvSpPr>
      <xdr:spPr>
        <a:xfrm>
          <a:off x="9153525" y="6448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38</xdr:col>
      <xdr:colOff>209550</xdr:colOff>
      <xdr:row>23</xdr:row>
      <xdr:rowOff>266700</xdr:rowOff>
    </xdr:from>
    <xdr:to>
      <xdr:col>39</xdr:col>
      <xdr:colOff>581025</xdr:colOff>
      <xdr:row>24</xdr:row>
      <xdr:rowOff>209550</xdr:rowOff>
    </xdr:to>
    <xdr:sp>
      <xdr:nvSpPr>
        <xdr:cNvPr id="13" name="Comment 13" hidden="1"/>
        <xdr:cNvSpPr>
          <a:spLocks/>
        </xdr:cNvSpPr>
      </xdr:nvSpPr>
      <xdr:spPr>
        <a:xfrm>
          <a:off x="9391650" y="6448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38</xdr:col>
      <xdr:colOff>171450</xdr:colOff>
      <xdr:row>23</xdr:row>
      <xdr:rowOff>266700</xdr:rowOff>
    </xdr:from>
    <xdr:to>
      <xdr:col>39</xdr:col>
      <xdr:colOff>542925</xdr:colOff>
      <xdr:row>24</xdr:row>
      <xdr:rowOff>209550</xdr:rowOff>
    </xdr:to>
    <xdr:sp>
      <xdr:nvSpPr>
        <xdr:cNvPr id="14" name="Comment 14" hidden="1"/>
        <xdr:cNvSpPr>
          <a:spLocks/>
        </xdr:cNvSpPr>
      </xdr:nvSpPr>
      <xdr:spPr>
        <a:xfrm>
          <a:off x="9353550" y="6448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38</xdr:col>
      <xdr:colOff>47625</xdr:colOff>
      <xdr:row>42</xdr:row>
      <xdr:rowOff>152400</xdr:rowOff>
    </xdr:from>
    <xdr:to>
      <xdr:col>40</xdr:col>
      <xdr:colOff>247650</xdr:colOff>
      <xdr:row>43</xdr:row>
      <xdr:rowOff>228600</xdr:rowOff>
    </xdr:to>
    <xdr:sp>
      <xdr:nvSpPr>
        <xdr:cNvPr id="15" name="Comment 15" hidden="1"/>
        <xdr:cNvSpPr>
          <a:spLocks/>
        </xdr:cNvSpPr>
      </xdr:nvSpPr>
      <xdr:spPr>
        <a:xfrm>
          <a:off x="9229725" y="709612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38</xdr:col>
      <xdr:colOff>38100</xdr:colOff>
      <xdr:row>42</xdr:row>
      <xdr:rowOff>152400</xdr:rowOff>
    </xdr:from>
    <xdr:to>
      <xdr:col>40</xdr:col>
      <xdr:colOff>238125</xdr:colOff>
      <xdr:row>43</xdr:row>
      <xdr:rowOff>228600</xdr:rowOff>
    </xdr:to>
    <xdr:sp>
      <xdr:nvSpPr>
        <xdr:cNvPr id="16" name="Comment 16" hidden="1"/>
        <xdr:cNvSpPr>
          <a:spLocks/>
        </xdr:cNvSpPr>
      </xdr:nvSpPr>
      <xdr:spPr>
        <a:xfrm>
          <a:off x="9220200" y="709612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vyššího párového pořadí</a:t>
          </a:r>
        </a:p>
      </xdr:txBody>
    </xdr:sp>
    <xdr:clientData/>
  </xdr:twoCellAnchor>
  <xdr:twoCellAnchor editAs="absolute">
    <xdr:from>
      <xdr:col>38</xdr:col>
      <xdr:colOff>19050</xdr:colOff>
      <xdr:row>42</xdr:row>
      <xdr:rowOff>142875</xdr:rowOff>
    </xdr:from>
    <xdr:to>
      <xdr:col>40</xdr:col>
      <xdr:colOff>238125</xdr:colOff>
      <xdr:row>43</xdr:row>
      <xdr:rowOff>371475</xdr:rowOff>
    </xdr:to>
    <xdr:sp>
      <xdr:nvSpPr>
        <xdr:cNvPr id="17" name="Comment 17" hidden="1"/>
        <xdr:cNvSpPr>
          <a:spLocks/>
        </xdr:cNvSpPr>
      </xdr:nvSpPr>
      <xdr:spPr>
        <a:xfrm>
          <a:off x="9201150" y="7086600"/>
          <a:ext cx="14382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38</xdr:col>
      <xdr:colOff>228600</xdr:colOff>
      <xdr:row>42</xdr:row>
      <xdr:rowOff>152400</xdr:rowOff>
    </xdr:from>
    <xdr:to>
      <xdr:col>40</xdr:col>
      <xdr:colOff>428625</xdr:colOff>
      <xdr:row>43</xdr:row>
      <xdr:rowOff>228600</xdr:rowOff>
    </xdr:to>
    <xdr:sp>
      <xdr:nvSpPr>
        <xdr:cNvPr id="18" name="Comment 18" hidden="1"/>
        <xdr:cNvSpPr>
          <a:spLocks/>
        </xdr:cNvSpPr>
      </xdr:nvSpPr>
      <xdr:spPr>
        <a:xfrm>
          <a:off x="9410700" y="709612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38</xdr:col>
      <xdr:colOff>219075</xdr:colOff>
      <xdr:row>42</xdr:row>
      <xdr:rowOff>152400</xdr:rowOff>
    </xdr:from>
    <xdr:to>
      <xdr:col>40</xdr:col>
      <xdr:colOff>381000</xdr:colOff>
      <xdr:row>43</xdr:row>
      <xdr:rowOff>228600</xdr:rowOff>
    </xdr:to>
    <xdr:sp>
      <xdr:nvSpPr>
        <xdr:cNvPr id="19" name="Comment 19" hidden="1"/>
        <xdr:cNvSpPr>
          <a:spLocks/>
        </xdr:cNvSpPr>
      </xdr:nvSpPr>
      <xdr:spPr>
        <a:xfrm>
          <a:off x="9401175" y="7096125"/>
          <a:ext cx="13811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nižšího párového pořadí</a:t>
          </a:r>
        </a:p>
      </xdr:txBody>
    </xdr:sp>
    <xdr:clientData/>
  </xdr:twoCellAnchor>
  <xdr:twoCellAnchor editAs="absolute">
    <xdr:from>
      <xdr:col>38</xdr:col>
      <xdr:colOff>180975</xdr:colOff>
      <xdr:row>42</xdr:row>
      <xdr:rowOff>133350</xdr:rowOff>
    </xdr:from>
    <xdr:to>
      <xdr:col>40</xdr:col>
      <xdr:colOff>361950</xdr:colOff>
      <xdr:row>43</xdr:row>
      <xdr:rowOff>361950</xdr:rowOff>
    </xdr:to>
    <xdr:sp>
      <xdr:nvSpPr>
        <xdr:cNvPr id="20" name="Comment 20" hidden="1"/>
        <xdr:cNvSpPr>
          <a:spLocks/>
        </xdr:cNvSpPr>
      </xdr:nvSpPr>
      <xdr:spPr>
        <a:xfrm>
          <a:off x="9363075" y="7077075"/>
          <a:ext cx="14001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nižšího párového pořadí</a:t>
          </a:r>
        </a:p>
      </xdr:txBody>
    </xdr:sp>
    <xdr:clientData/>
  </xdr:twoCellAnchor>
  <xdr:twoCellAnchor editAs="absolute">
    <xdr:from>
      <xdr:col>38</xdr:col>
      <xdr:colOff>323850</xdr:colOff>
      <xdr:row>23</xdr:row>
      <xdr:rowOff>266700</xdr:rowOff>
    </xdr:from>
    <xdr:to>
      <xdr:col>39</xdr:col>
      <xdr:colOff>152400</xdr:colOff>
      <xdr:row>24</xdr:row>
      <xdr:rowOff>209550</xdr:rowOff>
    </xdr:to>
    <xdr:sp>
      <xdr:nvSpPr>
        <xdr:cNvPr id="21" name="Comment 21" hidden="1"/>
        <xdr:cNvSpPr>
          <a:spLocks/>
        </xdr:cNvSpPr>
      </xdr:nvSpPr>
      <xdr:spPr>
        <a:xfrm>
          <a:off x="9505950" y="6448425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38</xdr:col>
      <xdr:colOff>352425</xdr:colOff>
      <xdr:row>23</xdr:row>
      <xdr:rowOff>266700</xdr:rowOff>
    </xdr:from>
    <xdr:to>
      <xdr:col>40</xdr:col>
      <xdr:colOff>76200</xdr:colOff>
      <xdr:row>24</xdr:row>
      <xdr:rowOff>209550</xdr:rowOff>
    </xdr:to>
    <xdr:sp>
      <xdr:nvSpPr>
        <xdr:cNvPr id="22" name="Comment 22" hidden="1"/>
        <xdr:cNvSpPr>
          <a:spLocks/>
        </xdr:cNvSpPr>
      </xdr:nvSpPr>
      <xdr:spPr>
        <a:xfrm>
          <a:off x="9534525" y="644842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38</xdr:col>
      <xdr:colOff>371475</xdr:colOff>
      <xdr:row>42</xdr:row>
      <xdr:rowOff>133350</xdr:rowOff>
    </xdr:from>
    <xdr:to>
      <xdr:col>40</xdr:col>
      <xdr:colOff>95250</xdr:colOff>
      <xdr:row>43</xdr:row>
      <xdr:rowOff>209550</xdr:rowOff>
    </xdr:to>
    <xdr:sp>
      <xdr:nvSpPr>
        <xdr:cNvPr id="23" name="Comment 23" hidden="1"/>
        <xdr:cNvSpPr>
          <a:spLocks/>
        </xdr:cNvSpPr>
      </xdr:nvSpPr>
      <xdr:spPr>
        <a:xfrm>
          <a:off x="9553575" y="707707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38</xdr:col>
      <xdr:colOff>361950</xdr:colOff>
      <xdr:row>42</xdr:row>
      <xdr:rowOff>133350</xdr:rowOff>
    </xdr:from>
    <xdr:to>
      <xdr:col>40</xdr:col>
      <xdr:colOff>85725</xdr:colOff>
      <xdr:row>43</xdr:row>
      <xdr:rowOff>209550</xdr:rowOff>
    </xdr:to>
    <xdr:sp>
      <xdr:nvSpPr>
        <xdr:cNvPr id="24" name="Comment 24" hidden="1"/>
        <xdr:cNvSpPr>
          <a:spLocks/>
        </xdr:cNvSpPr>
      </xdr:nvSpPr>
      <xdr:spPr>
        <a:xfrm>
          <a:off x="9544050" y="707707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38</xdr:col>
      <xdr:colOff>342900</xdr:colOff>
      <xdr:row>42</xdr:row>
      <xdr:rowOff>123825</xdr:rowOff>
    </xdr:from>
    <xdr:to>
      <xdr:col>39</xdr:col>
      <xdr:colOff>552450</xdr:colOff>
      <xdr:row>43</xdr:row>
      <xdr:rowOff>200025</xdr:rowOff>
    </xdr:to>
    <xdr:sp>
      <xdr:nvSpPr>
        <xdr:cNvPr id="25" name="Comment 25" hidden="1"/>
        <xdr:cNvSpPr>
          <a:spLocks/>
        </xdr:cNvSpPr>
      </xdr:nvSpPr>
      <xdr:spPr>
        <a:xfrm>
          <a:off x="9525000" y="70675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42</xdr:row>
      <xdr:rowOff>123825</xdr:rowOff>
    </xdr:from>
    <xdr:to>
      <xdr:col>40</xdr:col>
      <xdr:colOff>133350</xdr:colOff>
      <xdr:row>43</xdr:row>
      <xdr:rowOff>200025</xdr:rowOff>
    </xdr:to>
    <xdr:sp>
      <xdr:nvSpPr>
        <xdr:cNvPr id="26" name="Comment 26" hidden="1"/>
        <xdr:cNvSpPr>
          <a:spLocks/>
        </xdr:cNvSpPr>
      </xdr:nvSpPr>
      <xdr:spPr>
        <a:xfrm>
          <a:off x="9705975" y="70675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1. utkání
z minitabulky</a:t>
          </a:r>
        </a:p>
      </xdr:txBody>
    </xdr:sp>
    <xdr:clientData/>
  </xdr:twoCellAnchor>
  <xdr:twoCellAnchor editAs="absolute">
    <xdr:from>
      <xdr:col>38</xdr:col>
      <xdr:colOff>342900</xdr:colOff>
      <xdr:row>42</xdr:row>
      <xdr:rowOff>123825</xdr:rowOff>
    </xdr:from>
    <xdr:to>
      <xdr:col>39</xdr:col>
      <xdr:colOff>552450</xdr:colOff>
      <xdr:row>43</xdr:row>
      <xdr:rowOff>200025</xdr:rowOff>
    </xdr:to>
    <xdr:sp>
      <xdr:nvSpPr>
        <xdr:cNvPr id="27" name="Comment 27" hidden="1"/>
        <xdr:cNvSpPr>
          <a:spLocks/>
        </xdr:cNvSpPr>
      </xdr:nvSpPr>
      <xdr:spPr>
        <a:xfrm>
          <a:off x="9525000" y="70675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42</xdr:row>
      <xdr:rowOff>123825</xdr:rowOff>
    </xdr:from>
    <xdr:to>
      <xdr:col>40</xdr:col>
      <xdr:colOff>133350</xdr:colOff>
      <xdr:row>43</xdr:row>
      <xdr:rowOff>200025</xdr:rowOff>
    </xdr:to>
    <xdr:sp>
      <xdr:nvSpPr>
        <xdr:cNvPr id="28" name="Comment 28" hidden="1"/>
        <xdr:cNvSpPr>
          <a:spLocks/>
        </xdr:cNvSpPr>
      </xdr:nvSpPr>
      <xdr:spPr>
        <a:xfrm>
          <a:off x="9705975" y="70675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2. utkání
z minitabulky</a:t>
          </a:r>
        </a:p>
      </xdr:txBody>
    </xdr:sp>
    <xdr:clientData/>
  </xdr:twoCellAnchor>
  <xdr:twoCellAnchor editAs="absolute">
    <xdr:from>
      <xdr:col>38</xdr:col>
      <xdr:colOff>342900</xdr:colOff>
      <xdr:row>42</xdr:row>
      <xdr:rowOff>123825</xdr:rowOff>
    </xdr:from>
    <xdr:to>
      <xdr:col>39</xdr:col>
      <xdr:colOff>552450</xdr:colOff>
      <xdr:row>43</xdr:row>
      <xdr:rowOff>200025</xdr:rowOff>
    </xdr:to>
    <xdr:sp>
      <xdr:nvSpPr>
        <xdr:cNvPr id="29" name="Comment 29" hidden="1"/>
        <xdr:cNvSpPr>
          <a:spLocks/>
        </xdr:cNvSpPr>
      </xdr:nvSpPr>
      <xdr:spPr>
        <a:xfrm>
          <a:off x="9525000" y="70675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42</xdr:row>
      <xdr:rowOff>123825</xdr:rowOff>
    </xdr:from>
    <xdr:to>
      <xdr:col>40</xdr:col>
      <xdr:colOff>133350</xdr:colOff>
      <xdr:row>43</xdr:row>
      <xdr:rowOff>200025</xdr:rowOff>
    </xdr:to>
    <xdr:sp>
      <xdr:nvSpPr>
        <xdr:cNvPr id="30" name="Comment 30" hidden="1"/>
        <xdr:cNvSpPr>
          <a:spLocks/>
        </xdr:cNvSpPr>
      </xdr:nvSpPr>
      <xdr:spPr>
        <a:xfrm>
          <a:off x="9705975" y="70675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3. utkání
z minitabulky</a:t>
          </a:r>
        </a:p>
      </xdr:txBody>
    </xdr:sp>
    <xdr:clientData/>
  </xdr:twoCellAnchor>
  <xdr:twoCellAnchor editAs="absolute">
    <xdr:from>
      <xdr:col>13</xdr:col>
      <xdr:colOff>142875</xdr:colOff>
      <xdr:row>3</xdr:row>
      <xdr:rowOff>200025</xdr:rowOff>
    </xdr:from>
    <xdr:to>
      <xdr:col>16</xdr:col>
      <xdr:colOff>57150</xdr:colOff>
      <xdr:row>5</xdr:row>
      <xdr:rowOff>38100</xdr:rowOff>
    </xdr:to>
    <xdr:sp>
      <xdr:nvSpPr>
        <xdr:cNvPr id="31" name="Comment 31" hidden="1"/>
        <xdr:cNvSpPr>
          <a:spLocks/>
        </xdr:cNvSpPr>
      </xdr:nvSpPr>
      <xdr:spPr>
        <a:xfrm>
          <a:off x="4238625" y="102870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7</xdr:col>
      <xdr:colOff>123825</xdr:colOff>
      <xdr:row>48</xdr:row>
      <xdr:rowOff>133350</xdr:rowOff>
    </xdr:from>
    <xdr:to>
      <xdr:col>10</xdr:col>
      <xdr:colOff>123825</xdr:colOff>
      <xdr:row>49</xdr:row>
      <xdr:rowOff>219075</xdr:rowOff>
    </xdr:to>
    <xdr:sp>
      <xdr:nvSpPr>
        <xdr:cNvPr id="32" name="Comment 60" hidden="1"/>
        <xdr:cNvSpPr>
          <a:spLocks/>
        </xdr:cNvSpPr>
      </xdr:nvSpPr>
      <xdr:spPr>
        <a:xfrm>
          <a:off x="2200275" y="9096375"/>
          <a:ext cx="10096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ze třetích míst</a:t>
          </a:r>
        </a:p>
      </xdr:txBody>
    </xdr:sp>
    <xdr:clientData/>
  </xdr:twoCellAnchor>
  <xdr:twoCellAnchor editAs="absolute">
    <xdr:from>
      <xdr:col>7</xdr:col>
      <xdr:colOff>123825</xdr:colOff>
      <xdr:row>49</xdr:row>
      <xdr:rowOff>133350</xdr:rowOff>
    </xdr:from>
    <xdr:to>
      <xdr:col>10</xdr:col>
      <xdr:colOff>123825</xdr:colOff>
      <xdr:row>50</xdr:row>
      <xdr:rowOff>219075</xdr:rowOff>
    </xdr:to>
    <xdr:sp>
      <xdr:nvSpPr>
        <xdr:cNvPr id="33" name="Comment 61" hidden="1"/>
        <xdr:cNvSpPr>
          <a:spLocks/>
        </xdr:cNvSpPr>
      </xdr:nvSpPr>
      <xdr:spPr>
        <a:xfrm>
          <a:off x="2200275" y="9344025"/>
          <a:ext cx="10096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 druhých míst</a:t>
          </a:r>
        </a:p>
      </xdr:txBody>
    </xdr:sp>
    <xdr:clientData/>
  </xdr:twoCellAnchor>
  <xdr:twoCellAnchor editAs="absolute">
    <xdr:from>
      <xdr:col>7</xdr:col>
      <xdr:colOff>123825</xdr:colOff>
      <xdr:row>50</xdr:row>
      <xdr:rowOff>133350</xdr:rowOff>
    </xdr:from>
    <xdr:to>
      <xdr:col>10</xdr:col>
      <xdr:colOff>123825</xdr:colOff>
      <xdr:row>51</xdr:row>
      <xdr:rowOff>219075</xdr:rowOff>
    </xdr:to>
    <xdr:sp>
      <xdr:nvSpPr>
        <xdr:cNvPr id="34" name="Comment 62" hidden="1"/>
        <xdr:cNvSpPr>
          <a:spLocks/>
        </xdr:cNvSpPr>
      </xdr:nvSpPr>
      <xdr:spPr>
        <a:xfrm>
          <a:off x="2200275" y="9591675"/>
          <a:ext cx="10096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 prvních míst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57150</xdr:colOff>
      <xdr:row>3</xdr:row>
      <xdr:rowOff>180975</xdr:rowOff>
    </xdr:from>
    <xdr:to>
      <xdr:col>10</xdr:col>
      <xdr:colOff>419100</xdr:colOff>
      <xdr:row>5</xdr:row>
      <xdr:rowOff>19050</xdr:rowOff>
    </xdr:to>
    <xdr:sp>
      <xdr:nvSpPr>
        <xdr:cNvPr id="1" name="Comment 1" hidden="1"/>
        <xdr:cNvSpPr>
          <a:spLocks/>
        </xdr:cNvSpPr>
      </xdr:nvSpPr>
      <xdr:spPr>
        <a:xfrm>
          <a:off x="2971800" y="100965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12</xdr:col>
      <xdr:colOff>57150</xdr:colOff>
      <xdr:row>9</xdr:row>
      <xdr:rowOff>9525</xdr:rowOff>
    </xdr:from>
    <xdr:to>
      <xdr:col>14</xdr:col>
      <xdr:colOff>142875</xdr:colOff>
      <xdr:row>10</xdr:row>
      <xdr:rowOff>85725</xdr:rowOff>
    </xdr:to>
    <xdr:sp>
      <xdr:nvSpPr>
        <xdr:cNvPr id="2" name="Comment 2" hidden="1"/>
        <xdr:cNvSpPr>
          <a:spLocks/>
        </xdr:cNvSpPr>
      </xdr:nvSpPr>
      <xdr:spPr>
        <a:xfrm>
          <a:off x="4095750" y="2324100"/>
          <a:ext cx="1143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12</xdr:col>
      <xdr:colOff>57150</xdr:colOff>
      <xdr:row>9</xdr:row>
      <xdr:rowOff>9525</xdr:rowOff>
    </xdr:from>
    <xdr:to>
      <xdr:col>14</xdr:col>
      <xdr:colOff>133350</xdr:colOff>
      <xdr:row>10</xdr:row>
      <xdr:rowOff>85725</xdr:rowOff>
    </xdr:to>
    <xdr:sp>
      <xdr:nvSpPr>
        <xdr:cNvPr id="3" name="Comment 3" hidden="1"/>
        <xdr:cNvSpPr>
          <a:spLocks/>
        </xdr:cNvSpPr>
      </xdr:nvSpPr>
      <xdr:spPr>
        <a:xfrm>
          <a:off x="4095750" y="2324100"/>
          <a:ext cx="11334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12</xdr:col>
      <xdr:colOff>0</xdr:colOff>
      <xdr:row>3</xdr:row>
      <xdr:rowOff>200025</xdr:rowOff>
    </xdr:from>
    <xdr:to>
      <xdr:col>13</xdr:col>
      <xdr:colOff>476250</xdr:colOff>
      <xdr:row>5</xdr:row>
      <xdr:rowOff>38100</xdr:rowOff>
    </xdr:to>
    <xdr:sp>
      <xdr:nvSpPr>
        <xdr:cNvPr id="4" name="Comment 4" hidden="1"/>
        <xdr:cNvSpPr>
          <a:spLocks/>
        </xdr:cNvSpPr>
      </xdr:nvSpPr>
      <xdr:spPr>
        <a:xfrm>
          <a:off x="4038600" y="102870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11</xdr:col>
      <xdr:colOff>85725</xdr:colOff>
      <xdr:row>13</xdr:row>
      <xdr:rowOff>190500</xdr:rowOff>
    </xdr:from>
    <xdr:to>
      <xdr:col>14</xdr:col>
      <xdr:colOff>57150</xdr:colOff>
      <xdr:row>15</xdr:row>
      <xdr:rowOff>28575</xdr:rowOff>
    </xdr:to>
    <xdr:sp>
      <xdr:nvSpPr>
        <xdr:cNvPr id="5" name="Comment 5" hidden="1"/>
        <xdr:cNvSpPr>
          <a:spLocks/>
        </xdr:cNvSpPr>
      </xdr:nvSpPr>
      <xdr:spPr>
        <a:xfrm>
          <a:off x="4010025" y="3495675"/>
          <a:ext cx="114300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12</xdr:col>
      <xdr:colOff>200025</xdr:colOff>
      <xdr:row>13</xdr:row>
      <xdr:rowOff>190500</xdr:rowOff>
    </xdr:from>
    <xdr:to>
      <xdr:col>14</xdr:col>
      <xdr:colOff>276225</xdr:colOff>
      <xdr:row>15</xdr:row>
      <xdr:rowOff>28575</xdr:rowOff>
    </xdr:to>
    <xdr:sp>
      <xdr:nvSpPr>
        <xdr:cNvPr id="6" name="Comment 6" hidden="1"/>
        <xdr:cNvSpPr>
          <a:spLocks/>
        </xdr:cNvSpPr>
      </xdr:nvSpPr>
      <xdr:spPr>
        <a:xfrm>
          <a:off x="4238625" y="3495675"/>
          <a:ext cx="11334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10</xdr:col>
      <xdr:colOff>123825</xdr:colOff>
      <xdr:row>5</xdr:row>
      <xdr:rowOff>133350</xdr:rowOff>
    </xdr:from>
    <xdr:to>
      <xdr:col>12</xdr:col>
      <xdr:colOff>381000</xdr:colOff>
      <xdr:row>6</xdr:row>
      <xdr:rowOff>200025</xdr:rowOff>
    </xdr:to>
    <xdr:sp>
      <xdr:nvSpPr>
        <xdr:cNvPr id="7" name="Comment 9" hidden="1"/>
        <xdr:cNvSpPr>
          <a:spLocks/>
        </xdr:cNvSpPr>
      </xdr:nvSpPr>
      <xdr:spPr>
        <a:xfrm>
          <a:off x="3600450" y="1457325"/>
          <a:ext cx="819150" cy="3143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ve čtvrtfinále
má volný los</a:t>
          </a:r>
        </a:p>
      </xdr:txBody>
    </xdr:sp>
    <xdr:clientData/>
  </xdr:twoCellAnchor>
  <xdr:twoCellAnchor editAs="absolute">
    <xdr:from>
      <xdr:col>4</xdr:col>
      <xdr:colOff>133350</xdr:colOff>
      <xdr:row>9</xdr:row>
      <xdr:rowOff>85725</xdr:rowOff>
    </xdr:from>
    <xdr:to>
      <xdr:col>6</xdr:col>
      <xdr:colOff>371475</xdr:colOff>
      <xdr:row>10</xdr:row>
      <xdr:rowOff>28575</xdr:rowOff>
    </xdr:to>
    <xdr:sp>
      <xdr:nvSpPr>
        <xdr:cNvPr id="8" name="Comment 10" hidden="1"/>
        <xdr:cNvSpPr>
          <a:spLocks/>
        </xdr:cNvSpPr>
      </xdr:nvSpPr>
      <xdr:spPr>
        <a:xfrm>
          <a:off x="1590675" y="2400300"/>
          <a:ext cx="800100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čtvrtfinále 1</a:t>
          </a:r>
        </a:p>
      </xdr:txBody>
    </xdr:sp>
    <xdr:clientData/>
  </xdr:twoCellAnchor>
  <xdr:twoCellAnchor editAs="absolute">
    <xdr:from>
      <xdr:col>4</xdr:col>
      <xdr:colOff>133350</xdr:colOff>
      <xdr:row>10</xdr:row>
      <xdr:rowOff>85725</xdr:rowOff>
    </xdr:from>
    <xdr:to>
      <xdr:col>6</xdr:col>
      <xdr:colOff>371475</xdr:colOff>
      <xdr:row>11</xdr:row>
      <xdr:rowOff>28575</xdr:rowOff>
    </xdr:to>
    <xdr:sp>
      <xdr:nvSpPr>
        <xdr:cNvPr id="9" name="Comment 11" hidden="1"/>
        <xdr:cNvSpPr>
          <a:spLocks/>
        </xdr:cNvSpPr>
      </xdr:nvSpPr>
      <xdr:spPr>
        <a:xfrm>
          <a:off x="1590675" y="2647950"/>
          <a:ext cx="800100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čtvrtfinále 2</a:t>
          </a:r>
        </a:p>
      </xdr:txBody>
    </xdr:sp>
    <xdr:clientData/>
  </xdr:twoCellAnchor>
  <xdr:twoCellAnchor editAs="absolute">
    <xdr:from>
      <xdr:col>4</xdr:col>
      <xdr:colOff>133350</xdr:colOff>
      <xdr:row>11</xdr:row>
      <xdr:rowOff>85725</xdr:rowOff>
    </xdr:from>
    <xdr:to>
      <xdr:col>6</xdr:col>
      <xdr:colOff>371475</xdr:colOff>
      <xdr:row>12</xdr:row>
      <xdr:rowOff>28575</xdr:rowOff>
    </xdr:to>
    <xdr:sp>
      <xdr:nvSpPr>
        <xdr:cNvPr id="10" name="Comment 12" hidden="1"/>
        <xdr:cNvSpPr>
          <a:spLocks/>
        </xdr:cNvSpPr>
      </xdr:nvSpPr>
      <xdr:spPr>
        <a:xfrm>
          <a:off x="1590675" y="2895600"/>
          <a:ext cx="800100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čtvrtfinále 3</a:t>
          </a:r>
        </a:p>
      </xdr:txBody>
    </xdr:sp>
    <xdr:clientData/>
  </xdr:twoCellAnchor>
  <xdr:twoCellAnchor editAs="absolute">
    <xdr:from>
      <xdr:col>4</xdr:col>
      <xdr:colOff>123825</xdr:colOff>
      <xdr:row>14</xdr:row>
      <xdr:rowOff>76200</xdr:rowOff>
    </xdr:from>
    <xdr:to>
      <xdr:col>8</xdr:col>
      <xdr:colOff>66675</xdr:colOff>
      <xdr:row>15</xdr:row>
      <xdr:rowOff>161925</xdr:rowOff>
    </xdr:to>
    <xdr:sp>
      <xdr:nvSpPr>
        <xdr:cNvPr id="11" name="Comment 13" hidden="1"/>
        <xdr:cNvSpPr>
          <a:spLocks/>
        </xdr:cNvSpPr>
      </xdr:nvSpPr>
      <xdr:spPr>
        <a:xfrm>
          <a:off x="1581150" y="3629025"/>
          <a:ext cx="140017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semifinále 1
vítězové utkání 1. a 2.</a:t>
          </a:r>
        </a:p>
      </xdr:txBody>
    </xdr:sp>
    <xdr:clientData/>
  </xdr:twoCellAnchor>
  <xdr:twoCellAnchor editAs="absolute">
    <xdr:from>
      <xdr:col>4</xdr:col>
      <xdr:colOff>114300</xdr:colOff>
      <xdr:row>15</xdr:row>
      <xdr:rowOff>66675</xdr:rowOff>
    </xdr:from>
    <xdr:to>
      <xdr:col>9</xdr:col>
      <xdr:colOff>304800</xdr:colOff>
      <xdr:row>17</xdr:row>
      <xdr:rowOff>76200</xdr:rowOff>
    </xdr:to>
    <xdr:sp>
      <xdr:nvSpPr>
        <xdr:cNvPr id="12" name="Comment 14" hidden="1"/>
        <xdr:cNvSpPr>
          <a:spLocks/>
        </xdr:cNvSpPr>
      </xdr:nvSpPr>
      <xdr:spPr>
        <a:xfrm>
          <a:off x="1571625" y="3867150"/>
          <a:ext cx="1762125" cy="5048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semifinále 2
vítěz utkání 3. a
družstvo 7 (s volným losem)</a:t>
          </a:r>
        </a:p>
      </xdr:txBody>
    </xdr:sp>
    <xdr:clientData/>
  </xdr:twoCellAnchor>
  <xdr:twoCellAnchor editAs="absolute">
    <xdr:from>
      <xdr:col>4</xdr:col>
      <xdr:colOff>123825</xdr:colOff>
      <xdr:row>16</xdr:row>
      <xdr:rowOff>76200</xdr:rowOff>
    </xdr:from>
    <xdr:to>
      <xdr:col>7</xdr:col>
      <xdr:colOff>85725</xdr:colOff>
      <xdr:row>17</xdr:row>
      <xdr:rowOff>161925</xdr:rowOff>
    </xdr:to>
    <xdr:sp>
      <xdr:nvSpPr>
        <xdr:cNvPr id="13" name="Comment 15" hidden="1"/>
        <xdr:cNvSpPr>
          <a:spLocks/>
        </xdr:cNvSpPr>
      </xdr:nvSpPr>
      <xdr:spPr>
        <a:xfrm>
          <a:off x="1581150" y="4124325"/>
          <a:ext cx="9715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poražení
z utkání 1. a 2.</a:t>
          </a:r>
        </a:p>
      </xdr:txBody>
    </xdr:sp>
    <xdr:clientData/>
  </xdr:twoCellAnchor>
  <xdr:twoCellAnchor editAs="absolute">
    <xdr:from>
      <xdr:col>4</xdr:col>
      <xdr:colOff>123825</xdr:colOff>
      <xdr:row>19</xdr:row>
      <xdr:rowOff>76200</xdr:rowOff>
    </xdr:from>
    <xdr:to>
      <xdr:col>8</xdr:col>
      <xdr:colOff>57150</xdr:colOff>
      <xdr:row>20</xdr:row>
      <xdr:rowOff>161925</xdr:rowOff>
    </xdr:to>
    <xdr:sp>
      <xdr:nvSpPr>
        <xdr:cNvPr id="14" name="Comment 16" hidden="1"/>
        <xdr:cNvSpPr>
          <a:spLocks/>
        </xdr:cNvSpPr>
      </xdr:nvSpPr>
      <xdr:spPr>
        <a:xfrm>
          <a:off x="1581150" y="4867275"/>
          <a:ext cx="13906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 utkání 6.
a poražený z utkání 3.</a:t>
          </a:r>
        </a:p>
      </xdr:txBody>
    </xdr:sp>
    <xdr:clientData/>
  </xdr:twoCellAnchor>
  <xdr:twoCellAnchor editAs="absolute">
    <xdr:from>
      <xdr:col>4</xdr:col>
      <xdr:colOff>114300</xdr:colOff>
      <xdr:row>20</xdr:row>
      <xdr:rowOff>66675</xdr:rowOff>
    </xdr:from>
    <xdr:to>
      <xdr:col>7</xdr:col>
      <xdr:colOff>285750</xdr:colOff>
      <xdr:row>22</xdr:row>
      <xdr:rowOff>76200</xdr:rowOff>
    </xdr:to>
    <xdr:sp>
      <xdr:nvSpPr>
        <xdr:cNvPr id="15" name="Comment 17" hidden="1"/>
        <xdr:cNvSpPr>
          <a:spLocks/>
        </xdr:cNvSpPr>
      </xdr:nvSpPr>
      <xdr:spPr>
        <a:xfrm>
          <a:off x="1571625" y="5105400"/>
          <a:ext cx="1181100" cy="5048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poražení
ze semifinále 1 a 2
 (utkání 4. a 5.)</a:t>
          </a:r>
        </a:p>
      </xdr:txBody>
    </xdr:sp>
    <xdr:clientData/>
  </xdr:twoCellAnchor>
  <xdr:twoCellAnchor editAs="absolute">
    <xdr:from>
      <xdr:col>4</xdr:col>
      <xdr:colOff>114300</xdr:colOff>
      <xdr:row>21</xdr:row>
      <xdr:rowOff>66675</xdr:rowOff>
    </xdr:from>
    <xdr:to>
      <xdr:col>7</xdr:col>
      <xdr:colOff>285750</xdr:colOff>
      <xdr:row>23</xdr:row>
      <xdr:rowOff>76200</xdr:rowOff>
    </xdr:to>
    <xdr:sp>
      <xdr:nvSpPr>
        <xdr:cNvPr id="16" name="Comment 18" hidden="1"/>
        <xdr:cNvSpPr>
          <a:spLocks/>
        </xdr:cNvSpPr>
      </xdr:nvSpPr>
      <xdr:spPr>
        <a:xfrm>
          <a:off x="1571625" y="5353050"/>
          <a:ext cx="1181100" cy="5048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vítězové
ze semifinále 1 a 2
 (utkání 4. a 5.)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3</xdr:row>
      <xdr:rowOff>180975</xdr:rowOff>
    </xdr:from>
    <xdr:to>
      <xdr:col>12</xdr:col>
      <xdr:colOff>0</xdr:colOff>
      <xdr:row>5</xdr:row>
      <xdr:rowOff>19050</xdr:rowOff>
    </xdr:to>
    <xdr:sp>
      <xdr:nvSpPr>
        <xdr:cNvPr id="1" name="Comment 1" hidden="1"/>
        <xdr:cNvSpPr>
          <a:spLocks/>
        </xdr:cNvSpPr>
      </xdr:nvSpPr>
      <xdr:spPr>
        <a:xfrm>
          <a:off x="2724150" y="100965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19</xdr:col>
      <xdr:colOff>142875</xdr:colOff>
      <xdr:row>3</xdr:row>
      <xdr:rowOff>200025</xdr:rowOff>
    </xdr:from>
    <xdr:to>
      <xdr:col>20</xdr:col>
      <xdr:colOff>285750</xdr:colOff>
      <xdr:row>5</xdr:row>
      <xdr:rowOff>38100</xdr:rowOff>
    </xdr:to>
    <xdr:sp>
      <xdr:nvSpPr>
        <xdr:cNvPr id="2" name="Comment 2" hidden="1"/>
        <xdr:cNvSpPr>
          <a:spLocks/>
        </xdr:cNvSpPr>
      </xdr:nvSpPr>
      <xdr:spPr>
        <a:xfrm>
          <a:off x="5991225" y="1028700"/>
          <a:ext cx="5905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bodování</a:t>
          </a:r>
        </a:p>
      </xdr:txBody>
    </xdr:sp>
    <xdr:clientData/>
  </xdr:twoCellAnchor>
  <xdr:twoCellAnchor editAs="absolute">
    <xdr:from>
      <xdr:col>17</xdr:col>
      <xdr:colOff>28575</xdr:colOff>
      <xdr:row>9</xdr:row>
      <xdr:rowOff>9525</xdr:rowOff>
    </xdr:from>
    <xdr:to>
      <xdr:col>20</xdr:col>
      <xdr:colOff>295275</xdr:colOff>
      <xdr:row>10</xdr:row>
      <xdr:rowOff>85725</xdr:rowOff>
    </xdr:to>
    <xdr:sp>
      <xdr:nvSpPr>
        <xdr:cNvPr id="3" name="Comment 3" hidden="1"/>
        <xdr:cNvSpPr>
          <a:spLocks/>
        </xdr:cNvSpPr>
      </xdr:nvSpPr>
      <xdr:spPr>
        <a:xfrm>
          <a:off x="5448300" y="2324100"/>
          <a:ext cx="11430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vstřelených branek</a:t>
          </a:r>
        </a:p>
      </xdr:txBody>
    </xdr:sp>
    <xdr:clientData/>
  </xdr:twoCellAnchor>
  <xdr:twoCellAnchor editAs="absolute">
    <xdr:from>
      <xdr:col>18</xdr:col>
      <xdr:colOff>85725</xdr:colOff>
      <xdr:row>9</xdr:row>
      <xdr:rowOff>9525</xdr:rowOff>
    </xdr:from>
    <xdr:to>
      <xdr:col>34</xdr:col>
      <xdr:colOff>9525</xdr:colOff>
      <xdr:row>10</xdr:row>
      <xdr:rowOff>85725</xdr:rowOff>
    </xdr:to>
    <xdr:sp>
      <xdr:nvSpPr>
        <xdr:cNvPr id="4" name="Comment 4" hidden="1"/>
        <xdr:cNvSpPr>
          <a:spLocks/>
        </xdr:cNvSpPr>
      </xdr:nvSpPr>
      <xdr:spPr>
        <a:xfrm>
          <a:off x="5619750" y="2324100"/>
          <a:ext cx="11334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 počet
obdržených branek</a:t>
          </a:r>
        </a:p>
      </xdr:txBody>
    </xdr:sp>
    <xdr:clientData/>
  </xdr:twoCellAnchor>
  <xdr:twoCellAnchor editAs="absolute">
    <xdr:from>
      <xdr:col>37</xdr:col>
      <xdr:colOff>276225</xdr:colOff>
      <xdr:row>23</xdr:row>
      <xdr:rowOff>266700</xdr:rowOff>
    </xdr:from>
    <xdr:to>
      <xdr:col>38</xdr:col>
      <xdr:colOff>142875</xdr:colOff>
      <xdr:row>24</xdr:row>
      <xdr:rowOff>209550</xdr:rowOff>
    </xdr:to>
    <xdr:sp>
      <xdr:nvSpPr>
        <xdr:cNvPr id="5" name="Comment 5" hidden="1"/>
        <xdr:cNvSpPr>
          <a:spLocks/>
        </xdr:cNvSpPr>
      </xdr:nvSpPr>
      <xdr:spPr>
        <a:xfrm>
          <a:off x="8848725" y="6448425"/>
          <a:ext cx="4762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párové
pořadí</a:t>
          </a:r>
        </a:p>
      </xdr:txBody>
    </xdr:sp>
    <xdr:clientData/>
  </xdr:twoCellAnchor>
  <xdr:twoCellAnchor editAs="absolute">
    <xdr:from>
      <xdr:col>37</xdr:col>
      <xdr:colOff>238125</xdr:colOff>
      <xdr:row>23</xdr:row>
      <xdr:rowOff>266700</xdr:rowOff>
    </xdr:from>
    <xdr:to>
      <xdr:col>38</xdr:col>
      <xdr:colOff>361950</xdr:colOff>
      <xdr:row>24</xdr:row>
      <xdr:rowOff>209550</xdr:rowOff>
    </xdr:to>
    <xdr:sp>
      <xdr:nvSpPr>
        <xdr:cNvPr id="6" name="Comment 6" hidden="1"/>
        <xdr:cNvSpPr>
          <a:spLocks/>
        </xdr:cNvSpPr>
      </xdr:nvSpPr>
      <xdr:spPr>
        <a:xfrm>
          <a:off x="8810625" y="6448425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1. párového</a:t>
          </a:r>
        </a:p>
      </xdr:txBody>
    </xdr:sp>
    <xdr:clientData/>
  </xdr:twoCellAnchor>
  <xdr:twoCellAnchor editAs="absolute">
    <xdr:from>
      <xdr:col>37</xdr:col>
      <xdr:colOff>238125</xdr:colOff>
      <xdr:row>42</xdr:row>
      <xdr:rowOff>123825</xdr:rowOff>
    </xdr:from>
    <xdr:to>
      <xdr:col>38</xdr:col>
      <xdr:colOff>361950</xdr:colOff>
      <xdr:row>43</xdr:row>
      <xdr:rowOff>200025</xdr:rowOff>
    </xdr:to>
    <xdr:sp>
      <xdr:nvSpPr>
        <xdr:cNvPr id="7" name="Comment 7" hidden="1"/>
        <xdr:cNvSpPr>
          <a:spLocks/>
        </xdr:cNvSpPr>
      </xdr:nvSpPr>
      <xdr:spPr>
        <a:xfrm>
          <a:off x="8810625" y="7067550"/>
          <a:ext cx="7334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2. párového</a:t>
          </a:r>
        </a:p>
      </xdr:txBody>
    </xdr:sp>
    <xdr:clientData/>
  </xdr:twoCellAnchor>
  <xdr:twoCellAnchor editAs="absolute">
    <xdr:from>
      <xdr:col>37</xdr:col>
      <xdr:colOff>209550</xdr:colOff>
      <xdr:row>42</xdr:row>
      <xdr:rowOff>114300</xdr:rowOff>
    </xdr:from>
    <xdr:to>
      <xdr:col>38</xdr:col>
      <xdr:colOff>133350</xdr:colOff>
      <xdr:row>43</xdr:row>
      <xdr:rowOff>190500</xdr:rowOff>
    </xdr:to>
    <xdr:sp>
      <xdr:nvSpPr>
        <xdr:cNvPr id="8" name="Comment 8" hidden="1"/>
        <xdr:cNvSpPr>
          <a:spLocks/>
        </xdr:cNvSpPr>
      </xdr:nvSpPr>
      <xdr:spPr>
        <a:xfrm>
          <a:off x="8782050" y="7058025"/>
          <a:ext cx="53340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(utkání)</a:t>
          </a:r>
        </a:p>
      </xdr:txBody>
    </xdr:sp>
    <xdr:clientData/>
  </xdr:twoCellAnchor>
  <xdr:twoCellAnchor editAs="absolute">
    <xdr:from>
      <xdr:col>37</xdr:col>
      <xdr:colOff>190500</xdr:colOff>
      <xdr:row>42</xdr:row>
      <xdr:rowOff>104775</xdr:rowOff>
    </xdr:from>
    <xdr:to>
      <xdr:col>38</xdr:col>
      <xdr:colOff>19050</xdr:colOff>
      <xdr:row>43</xdr:row>
      <xdr:rowOff>180975</xdr:rowOff>
    </xdr:to>
    <xdr:sp>
      <xdr:nvSpPr>
        <xdr:cNvPr id="9" name="Comment 9" hidden="1"/>
        <xdr:cNvSpPr>
          <a:spLocks/>
        </xdr:cNvSpPr>
      </xdr:nvSpPr>
      <xdr:spPr>
        <a:xfrm>
          <a:off x="8763000" y="7048500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
utkání</a:t>
          </a:r>
        </a:p>
      </xdr:txBody>
    </xdr:sp>
    <xdr:clientData/>
  </xdr:twoCellAnchor>
  <xdr:twoCellAnchor editAs="absolute">
    <xdr:from>
      <xdr:col>37</xdr:col>
      <xdr:colOff>247650</xdr:colOff>
      <xdr:row>42</xdr:row>
      <xdr:rowOff>133350</xdr:rowOff>
    </xdr:from>
    <xdr:to>
      <xdr:col>39</xdr:col>
      <xdr:colOff>9525</xdr:colOff>
      <xdr:row>43</xdr:row>
      <xdr:rowOff>209550</xdr:rowOff>
    </xdr:to>
    <xdr:sp>
      <xdr:nvSpPr>
        <xdr:cNvPr id="10" name="Comment 10" hidden="1"/>
        <xdr:cNvSpPr>
          <a:spLocks/>
        </xdr:cNvSpPr>
      </xdr:nvSpPr>
      <xdr:spPr>
        <a:xfrm>
          <a:off x="8820150" y="707707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</a:t>
          </a:r>
        </a:p>
      </xdr:txBody>
    </xdr:sp>
    <xdr:clientData/>
  </xdr:twoCellAnchor>
  <xdr:twoCellAnchor editAs="absolute">
    <xdr:from>
      <xdr:col>38</xdr:col>
      <xdr:colOff>9525</xdr:colOff>
      <xdr:row>23</xdr:row>
      <xdr:rowOff>266700</xdr:rowOff>
    </xdr:from>
    <xdr:to>
      <xdr:col>39</xdr:col>
      <xdr:colOff>381000</xdr:colOff>
      <xdr:row>24</xdr:row>
      <xdr:rowOff>209550</xdr:rowOff>
    </xdr:to>
    <xdr:sp>
      <xdr:nvSpPr>
        <xdr:cNvPr id="11" name="Comment 11" hidden="1"/>
        <xdr:cNvSpPr>
          <a:spLocks/>
        </xdr:cNvSpPr>
      </xdr:nvSpPr>
      <xdr:spPr>
        <a:xfrm>
          <a:off x="9191625" y="6448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37</xdr:col>
      <xdr:colOff>581025</xdr:colOff>
      <xdr:row>23</xdr:row>
      <xdr:rowOff>266700</xdr:rowOff>
    </xdr:from>
    <xdr:to>
      <xdr:col>39</xdr:col>
      <xdr:colOff>342900</xdr:colOff>
      <xdr:row>24</xdr:row>
      <xdr:rowOff>209550</xdr:rowOff>
    </xdr:to>
    <xdr:sp>
      <xdr:nvSpPr>
        <xdr:cNvPr id="12" name="Comment 12" hidden="1"/>
        <xdr:cNvSpPr>
          <a:spLocks/>
        </xdr:cNvSpPr>
      </xdr:nvSpPr>
      <xdr:spPr>
        <a:xfrm>
          <a:off x="9153525" y="6448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38</xdr:col>
      <xdr:colOff>209550</xdr:colOff>
      <xdr:row>23</xdr:row>
      <xdr:rowOff>266700</xdr:rowOff>
    </xdr:from>
    <xdr:to>
      <xdr:col>39</xdr:col>
      <xdr:colOff>581025</xdr:colOff>
      <xdr:row>24</xdr:row>
      <xdr:rowOff>209550</xdr:rowOff>
    </xdr:to>
    <xdr:sp>
      <xdr:nvSpPr>
        <xdr:cNvPr id="13" name="Comment 13" hidden="1"/>
        <xdr:cNvSpPr>
          <a:spLocks/>
        </xdr:cNvSpPr>
      </xdr:nvSpPr>
      <xdr:spPr>
        <a:xfrm>
          <a:off x="9391650" y="6448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 vyššího
párového pořadí</a:t>
          </a:r>
        </a:p>
      </xdr:txBody>
    </xdr:sp>
    <xdr:clientData/>
  </xdr:twoCellAnchor>
  <xdr:twoCellAnchor editAs="absolute">
    <xdr:from>
      <xdr:col>38</xdr:col>
      <xdr:colOff>171450</xdr:colOff>
      <xdr:row>23</xdr:row>
      <xdr:rowOff>266700</xdr:rowOff>
    </xdr:from>
    <xdr:to>
      <xdr:col>39</xdr:col>
      <xdr:colOff>542925</xdr:colOff>
      <xdr:row>24</xdr:row>
      <xdr:rowOff>209550</xdr:rowOff>
    </xdr:to>
    <xdr:sp>
      <xdr:nvSpPr>
        <xdr:cNvPr id="14" name="Comment 14" hidden="1"/>
        <xdr:cNvSpPr>
          <a:spLocks/>
        </xdr:cNvSpPr>
      </xdr:nvSpPr>
      <xdr:spPr>
        <a:xfrm>
          <a:off x="9353550" y="6448425"/>
          <a:ext cx="9810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 vyššího
párového pořadí</a:t>
          </a:r>
        </a:p>
      </xdr:txBody>
    </xdr:sp>
    <xdr:clientData/>
  </xdr:twoCellAnchor>
  <xdr:twoCellAnchor editAs="absolute">
    <xdr:from>
      <xdr:col>38</xdr:col>
      <xdr:colOff>47625</xdr:colOff>
      <xdr:row>42</xdr:row>
      <xdr:rowOff>152400</xdr:rowOff>
    </xdr:from>
    <xdr:to>
      <xdr:col>40</xdr:col>
      <xdr:colOff>247650</xdr:colOff>
      <xdr:row>43</xdr:row>
      <xdr:rowOff>228600</xdr:rowOff>
    </xdr:to>
    <xdr:sp>
      <xdr:nvSpPr>
        <xdr:cNvPr id="15" name="Comment 15" hidden="1"/>
        <xdr:cNvSpPr>
          <a:spLocks/>
        </xdr:cNvSpPr>
      </xdr:nvSpPr>
      <xdr:spPr>
        <a:xfrm>
          <a:off x="9229725" y="709612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38</xdr:col>
      <xdr:colOff>38100</xdr:colOff>
      <xdr:row>42</xdr:row>
      <xdr:rowOff>152400</xdr:rowOff>
    </xdr:from>
    <xdr:to>
      <xdr:col>40</xdr:col>
      <xdr:colOff>238125</xdr:colOff>
      <xdr:row>43</xdr:row>
      <xdr:rowOff>228600</xdr:rowOff>
    </xdr:to>
    <xdr:sp>
      <xdr:nvSpPr>
        <xdr:cNvPr id="16" name="Comment 16" hidden="1"/>
        <xdr:cNvSpPr>
          <a:spLocks/>
        </xdr:cNvSpPr>
      </xdr:nvSpPr>
      <xdr:spPr>
        <a:xfrm>
          <a:off x="9220200" y="709612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vyššího párového pořadí</a:t>
          </a:r>
        </a:p>
      </xdr:txBody>
    </xdr:sp>
    <xdr:clientData/>
  </xdr:twoCellAnchor>
  <xdr:twoCellAnchor editAs="absolute">
    <xdr:from>
      <xdr:col>38</xdr:col>
      <xdr:colOff>19050</xdr:colOff>
      <xdr:row>42</xdr:row>
      <xdr:rowOff>142875</xdr:rowOff>
    </xdr:from>
    <xdr:to>
      <xdr:col>40</xdr:col>
      <xdr:colOff>238125</xdr:colOff>
      <xdr:row>43</xdr:row>
      <xdr:rowOff>371475</xdr:rowOff>
    </xdr:to>
    <xdr:sp>
      <xdr:nvSpPr>
        <xdr:cNvPr id="17" name="Comment 17" hidden="1"/>
        <xdr:cNvSpPr>
          <a:spLocks/>
        </xdr:cNvSpPr>
      </xdr:nvSpPr>
      <xdr:spPr>
        <a:xfrm>
          <a:off x="9201150" y="7086600"/>
          <a:ext cx="14382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vyššího párového pořadí</a:t>
          </a:r>
        </a:p>
      </xdr:txBody>
    </xdr:sp>
    <xdr:clientData/>
  </xdr:twoCellAnchor>
  <xdr:twoCellAnchor editAs="absolute">
    <xdr:from>
      <xdr:col>38</xdr:col>
      <xdr:colOff>228600</xdr:colOff>
      <xdr:row>42</xdr:row>
      <xdr:rowOff>152400</xdr:rowOff>
    </xdr:from>
    <xdr:to>
      <xdr:col>40</xdr:col>
      <xdr:colOff>428625</xdr:colOff>
      <xdr:row>43</xdr:row>
      <xdr:rowOff>228600</xdr:rowOff>
    </xdr:to>
    <xdr:sp>
      <xdr:nvSpPr>
        <xdr:cNvPr id="18" name="Comment 18" hidden="1"/>
        <xdr:cNvSpPr>
          <a:spLocks/>
        </xdr:cNvSpPr>
      </xdr:nvSpPr>
      <xdr:spPr>
        <a:xfrm>
          <a:off x="9410700" y="7096125"/>
          <a:ext cx="14192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 (utkání)
vyššího párového pořadí</a:t>
          </a:r>
        </a:p>
      </xdr:txBody>
    </xdr:sp>
    <xdr:clientData/>
  </xdr:twoCellAnchor>
  <xdr:twoCellAnchor editAs="absolute">
    <xdr:from>
      <xdr:col>38</xdr:col>
      <xdr:colOff>219075</xdr:colOff>
      <xdr:row>42</xdr:row>
      <xdr:rowOff>152400</xdr:rowOff>
    </xdr:from>
    <xdr:to>
      <xdr:col>40</xdr:col>
      <xdr:colOff>381000</xdr:colOff>
      <xdr:row>43</xdr:row>
      <xdr:rowOff>228600</xdr:rowOff>
    </xdr:to>
    <xdr:sp>
      <xdr:nvSpPr>
        <xdr:cNvPr id="19" name="Comment 19" hidden="1"/>
        <xdr:cNvSpPr>
          <a:spLocks/>
        </xdr:cNvSpPr>
      </xdr:nvSpPr>
      <xdr:spPr>
        <a:xfrm>
          <a:off x="9401175" y="7096125"/>
          <a:ext cx="138112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pořadí utkání
nižšího párového pořadí</a:t>
          </a:r>
        </a:p>
      </xdr:txBody>
    </xdr:sp>
    <xdr:clientData/>
  </xdr:twoCellAnchor>
  <xdr:twoCellAnchor editAs="absolute">
    <xdr:from>
      <xdr:col>38</xdr:col>
      <xdr:colOff>180975</xdr:colOff>
      <xdr:row>42</xdr:row>
      <xdr:rowOff>133350</xdr:rowOff>
    </xdr:from>
    <xdr:to>
      <xdr:col>40</xdr:col>
      <xdr:colOff>361950</xdr:colOff>
      <xdr:row>43</xdr:row>
      <xdr:rowOff>361950</xdr:rowOff>
    </xdr:to>
    <xdr:sp>
      <xdr:nvSpPr>
        <xdr:cNvPr id="20" name="Comment 20" hidden="1"/>
        <xdr:cNvSpPr>
          <a:spLocks/>
        </xdr:cNvSpPr>
      </xdr:nvSpPr>
      <xdr:spPr>
        <a:xfrm>
          <a:off x="9363075" y="7077075"/>
          <a:ext cx="1400175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řádek
lepšího družstva
nižšího párového pořadí</a:t>
          </a:r>
        </a:p>
      </xdr:txBody>
    </xdr:sp>
    <xdr:clientData/>
  </xdr:twoCellAnchor>
  <xdr:twoCellAnchor editAs="absolute">
    <xdr:from>
      <xdr:col>38</xdr:col>
      <xdr:colOff>323850</xdr:colOff>
      <xdr:row>23</xdr:row>
      <xdr:rowOff>266700</xdr:rowOff>
    </xdr:from>
    <xdr:to>
      <xdr:col>39</xdr:col>
      <xdr:colOff>152400</xdr:colOff>
      <xdr:row>24</xdr:row>
      <xdr:rowOff>209550</xdr:rowOff>
    </xdr:to>
    <xdr:sp>
      <xdr:nvSpPr>
        <xdr:cNvPr id="21" name="Comment 21" hidden="1"/>
        <xdr:cNvSpPr>
          <a:spLocks/>
        </xdr:cNvSpPr>
      </xdr:nvSpPr>
      <xdr:spPr>
        <a:xfrm>
          <a:off x="9505950" y="6448425"/>
          <a:ext cx="438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trojité
pořadí</a:t>
          </a:r>
        </a:p>
      </xdr:txBody>
    </xdr:sp>
    <xdr:clientData/>
  </xdr:twoCellAnchor>
  <xdr:twoCellAnchor editAs="absolute">
    <xdr:from>
      <xdr:col>38</xdr:col>
      <xdr:colOff>352425</xdr:colOff>
      <xdr:row>23</xdr:row>
      <xdr:rowOff>266700</xdr:rowOff>
    </xdr:from>
    <xdr:to>
      <xdr:col>40</xdr:col>
      <xdr:colOff>76200</xdr:colOff>
      <xdr:row>24</xdr:row>
      <xdr:rowOff>209550</xdr:rowOff>
    </xdr:to>
    <xdr:sp>
      <xdr:nvSpPr>
        <xdr:cNvPr id="22" name="Comment 22" hidden="1"/>
        <xdr:cNvSpPr>
          <a:spLocks/>
        </xdr:cNvSpPr>
      </xdr:nvSpPr>
      <xdr:spPr>
        <a:xfrm>
          <a:off x="9534525" y="644842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1. řádek
trojitého pořadí</a:t>
          </a:r>
        </a:p>
      </xdr:txBody>
    </xdr:sp>
    <xdr:clientData/>
  </xdr:twoCellAnchor>
  <xdr:twoCellAnchor editAs="absolute">
    <xdr:from>
      <xdr:col>38</xdr:col>
      <xdr:colOff>371475</xdr:colOff>
      <xdr:row>42</xdr:row>
      <xdr:rowOff>133350</xdr:rowOff>
    </xdr:from>
    <xdr:to>
      <xdr:col>40</xdr:col>
      <xdr:colOff>95250</xdr:colOff>
      <xdr:row>43</xdr:row>
      <xdr:rowOff>209550</xdr:rowOff>
    </xdr:to>
    <xdr:sp>
      <xdr:nvSpPr>
        <xdr:cNvPr id="23" name="Comment 23" hidden="1"/>
        <xdr:cNvSpPr>
          <a:spLocks/>
        </xdr:cNvSpPr>
      </xdr:nvSpPr>
      <xdr:spPr>
        <a:xfrm>
          <a:off x="9553575" y="707707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2. řádek
trojitého pořadí</a:t>
          </a:r>
        </a:p>
      </xdr:txBody>
    </xdr:sp>
    <xdr:clientData/>
  </xdr:twoCellAnchor>
  <xdr:twoCellAnchor editAs="absolute">
    <xdr:from>
      <xdr:col>38</xdr:col>
      <xdr:colOff>361950</xdr:colOff>
      <xdr:row>42</xdr:row>
      <xdr:rowOff>133350</xdr:rowOff>
    </xdr:from>
    <xdr:to>
      <xdr:col>40</xdr:col>
      <xdr:colOff>85725</xdr:colOff>
      <xdr:row>43</xdr:row>
      <xdr:rowOff>209550</xdr:rowOff>
    </xdr:to>
    <xdr:sp>
      <xdr:nvSpPr>
        <xdr:cNvPr id="24" name="Comment 24" hidden="1"/>
        <xdr:cNvSpPr>
          <a:spLocks/>
        </xdr:cNvSpPr>
      </xdr:nvSpPr>
      <xdr:spPr>
        <a:xfrm>
          <a:off x="9544050" y="7077075"/>
          <a:ext cx="9429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3. řádek
trojitého pořadí</a:t>
          </a:r>
        </a:p>
      </xdr:txBody>
    </xdr:sp>
    <xdr:clientData/>
  </xdr:twoCellAnchor>
  <xdr:twoCellAnchor editAs="absolute">
    <xdr:from>
      <xdr:col>38</xdr:col>
      <xdr:colOff>342900</xdr:colOff>
      <xdr:row>42</xdr:row>
      <xdr:rowOff>123825</xdr:rowOff>
    </xdr:from>
    <xdr:to>
      <xdr:col>39</xdr:col>
      <xdr:colOff>552450</xdr:colOff>
      <xdr:row>43</xdr:row>
      <xdr:rowOff>200025</xdr:rowOff>
    </xdr:to>
    <xdr:sp>
      <xdr:nvSpPr>
        <xdr:cNvPr id="25" name="Comment 25" hidden="1"/>
        <xdr:cNvSpPr>
          <a:spLocks/>
        </xdr:cNvSpPr>
      </xdr:nvSpPr>
      <xdr:spPr>
        <a:xfrm>
          <a:off x="9525000" y="70675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42</xdr:row>
      <xdr:rowOff>123825</xdr:rowOff>
    </xdr:from>
    <xdr:to>
      <xdr:col>40</xdr:col>
      <xdr:colOff>133350</xdr:colOff>
      <xdr:row>43</xdr:row>
      <xdr:rowOff>200025</xdr:rowOff>
    </xdr:to>
    <xdr:sp>
      <xdr:nvSpPr>
        <xdr:cNvPr id="26" name="Comment 26" hidden="1"/>
        <xdr:cNvSpPr>
          <a:spLocks/>
        </xdr:cNvSpPr>
      </xdr:nvSpPr>
      <xdr:spPr>
        <a:xfrm>
          <a:off x="9705975" y="70675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/>
            <a:t>číslo 1. utkání
z minitabulky</a:t>
          </a:r>
        </a:p>
      </xdr:txBody>
    </xdr:sp>
    <xdr:clientData/>
  </xdr:twoCellAnchor>
  <xdr:twoCellAnchor editAs="absolute">
    <xdr:from>
      <xdr:col>38</xdr:col>
      <xdr:colOff>342900</xdr:colOff>
      <xdr:row>42</xdr:row>
      <xdr:rowOff>123825</xdr:rowOff>
    </xdr:from>
    <xdr:to>
      <xdr:col>39</xdr:col>
      <xdr:colOff>552450</xdr:colOff>
      <xdr:row>43</xdr:row>
      <xdr:rowOff>200025</xdr:rowOff>
    </xdr:to>
    <xdr:sp>
      <xdr:nvSpPr>
        <xdr:cNvPr id="27" name="Comment 27" hidden="1"/>
        <xdr:cNvSpPr>
          <a:spLocks/>
        </xdr:cNvSpPr>
      </xdr:nvSpPr>
      <xdr:spPr>
        <a:xfrm>
          <a:off x="9525000" y="70675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42</xdr:row>
      <xdr:rowOff>123825</xdr:rowOff>
    </xdr:from>
    <xdr:to>
      <xdr:col>40</xdr:col>
      <xdr:colOff>133350</xdr:colOff>
      <xdr:row>43</xdr:row>
      <xdr:rowOff>200025</xdr:rowOff>
    </xdr:to>
    <xdr:sp>
      <xdr:nvSpPr>
        <xdr:cNvPr id="28" name="Comment 28" hidden="1"/>
        <xdr:cNvSpPr>
          <a:spLocks/>
        </xdr:cNvSpPr>
      </xdr:nvSpPr>
      <xdr:spPr>
        <a:xfrm>
          <a:off x="9705975" y="70675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2. utkání
z minitabulky</a:t>
          </a:r>
        </a:p>
      </xdr:txBody>
    </xdr:sp>
    <xdr:clientData/>
  </xdr:twoCellAnchor>
  <xdr:twoCellAnchor editAs="absolute">
    <xdr:from>
      <xdr:col>38</xdr:col>
      <xdr:colOff>342900</xdr:colOff>
      <xdr:row>42</xdr:row>
      <xdr:rowOff>123825</xdr:rowOff>
    </xdr:from>
    <xdr:to>
      <xdr:col>39</xdr:col>
      <xdr:colOff>552450</xdr:colOff>
      <xdr:row>43</xdr:row>
      <xdr:rowOff>200025</xdr:rowOff>
    </xdr:to>
    <xdr:sp>
      <xdr:nvSpPr>
        <xdr:cNvPr id="29" name="Comment 29" hidden="1"/>
        <xdr:cNvSpPr>
          <a:spLocks/>
        </xdr:cNvSpPr>
      </xdr:nvSpPr>
      <xdr:spPr>
        <a:xfrm>
          <a:off x="9525000" y="7067550"/>
          <a:ext cx="819150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soupeři
z minitabulky</a:t>
          </a:r>
        </a:p>
      </xdr:txBody>
    </xdr:sp>
    <xdr:clientData/>
  </xdr:twoCellAnchor>
  <xdr:twoCellAnchor editAs="absolute">
    <xdr:from>
      <xdr:col>38</xdr:col>
      <xdr:colOff>523875</xdr:colOff>
      <xdr:row>42</xdr:row>
      <xdr:rowOff>123825</xdr:rowOff>
    </xdr:from>
    <xdr:to>
      <xdr:col>40</xdr:col>
      <xdr:colOff>133350</xdr:colOff>
      <xdr:row>43</xdr:row>
      <xdr:rowOff>200025</xdr:rowOff>
    </xdr:to>
    <xdr:sp>
      <xdr:nvSpPr>
        <xdr:cNvPr id="30" name="Comment 30" hidden="1"/>
        <xdr:cNvSpPr>
          <a:spLocks/>
        </xdr:cNvSpPr>
      </xdr:nvSpPr>
      <xdr:spPr>
        <a:xfrm>
          <a:off x="9705975" y="7067550"/>
          <a:ext cx="828675" cy="3238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číslo 3. utkání
z minitabulky</a:t>
          </a:r>
        </a:p>
      </xdr:txBody>
    </xdr:sp>
    <xdr:clientData/>
  </xdr:twoCellAnchor>
  <xdr:twoCellAnchor editAs="absolute">
    <xdr:from>
      <xdr:col>13</xdr:col>
      <xdr:colOff>142875</xdr:colOff>
      <xdr:row>3</xdr:row>
      <xdr:rowOff>200025</xdr:rowOff>
    </xdr:from>
    <xdr:to>
      <xdr:col>16</xdr:col>
      <xdr:colOff>57150</xdr:colOff>
      <xdr:row>5</xdr:row>
      <xdr:rowOff>38100</xdr:rowOff>
    </xdr:to>
    <xdr:sp>
      <xdr:nvSpPr>
        <xdr:cNvPr id="31" name="Comment 31" hidden="1"/>
        <xdr:cNvSpPr>
          <a:spLocks/>
        </xdr:cNvSpPr>
      </xdr:nvSpPr>
      <xdr:spPr>
        <a:xfrm>
          <a:off x="4238625" y="1028700"/>
          <a:ext cx="923925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/>
            <a:t>zadej
název družstva</a:t>
          </a:r>
        </a:p>
      </xdr:txBody>
    </xdr:sp>
    <xdr:clientData/>
  </xdr:twoCellAnchor>
  <xdr:twoCellAnchor editAs="absolute">
    <xdr:from>
      <xdr:col>7</xdr:col>
      <xdr:colOff>152400</xdr:colOff>
      <xdr:row>51</xdr:row>
      <xdr:rowOff>161925</xdr:rowOff>
    </xdr:from>
    <xdr:to>
      <xdr:col>9</xdr:col>
      <xdr:colOff>400050</xdr:colOff>
      <xdr:row>52</xdr:row>
      <xdr:rowOff>104775</xdr:rowOff>
    </xdr:to>
    <xdr:sp>
      <xdr:nvSpPr>
        <xdr:cNvPr id="32" name="Comment 32" hidden="1"/>
        <xdr:cNvSpPr>
          <a:spLocks/>
        </xdr:cNvSpPr>
      </xdr:nvSpPr>
      <xdr:spPr>
        <a:xfrm>
          <a:off x="2228850" y="9867900"/>
          <a:ext cx="809625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2. semifinále</a:t>
          </a:r>
        </a:p>
      </xdr:txBody>
    </xdr:sp>
    <xdr:clientData/>
  </xdr:twoCellAnchor>
  <xdr:twoCellAnchor editAs="absolute">
    <xdr:from>
      <xdr:col>7</xdr:col>
      <xdr:colOff>123825</xdr:colOff>
      <xdr:row>53</xdr:row>
      <xdr:rowOff>133350</xdr:rowOff>
    </xdr:from>
    <xdr:to>
      <xdr:col>10</xdr:col>
      <xdr:colOff>123825</xdr:colOff>
      <xdr:row>54</xdr:row>
      <xdr:rowOff>219075</xdr:rowOff>
    </xdr:to>
    <xdr:sp>
      <xdr:nvSpPr>
        <xdr:cNvPr id="33" name="Comment 33" hidden="1"/>
        <xdr:cNvSpPr>
          <a:spLocks/>
        </xdr:cNvSpPr>
      </xdr:nvSpPr>
      <xdr:spPr>
        <a:xfrm>
          <a:off x="2200275" y="10334625"/>
          <a:ext cx="10096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 druhých míst</a:t>
          </a:r>
        </a:p>
      </xdr:txBody>
    </xdr:sp>
    <xdr:clientData/>
  </xdr:twoCellAnchor>
  <xdr:twoCellAnchor editAs="absolute">
    <xdr:from>
      <xdr:col>7</xdr:col>
      <xdr:colOff>123825</xdr:colOff>
      <xdr:row>54</xdr:row>
      <xdr:rowOff>133350</xdr:rowOff>
    </xdr:from>
    <xdr:to>
      <xdr:col>10</xdr:col>
      <xdr:colOff>123825</xdr:colOff>
      <xdr:row>55</xdr:row>
      <xdr:rowOff>219075</xdr:rowOff>
    </xdr:to>
    <xdr:sp>
      <xdr:nvSpPr>
        <xdr:cNvPr id="34" name="Comment 34" hidden="1"/>
        <xdr:cNvSpPr>
          <a:spLocks/>
        </xdr:cNvSpPr>
      </xdr:nvSpPr>
      <xdr:spPr>
        <a:xfrm>
          <a:off x="2200275" y="10582275"/>
          <a:ext cx="10096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utkání družstev
z prvních míst</a:t>
          </a:r>
        </a:p>
      </xdr:txBody>
    </xdr:sp>
    <xdr:clientData/>
  </xdr:twoCellAnchor>
  <xdr:twoCellAnchor editAs="absolute">
    <xdr:from>
      <xdr:col>7</xdr:col>
      <xdr:colOff>152400</xdr:colOff>
      <xdr:row>49</xdr:row>
      <xdr:rowOff>161925</xdr:rowOff>
    </xdr:from>
    <xdr:to>
      <xdr:col>9</xdr:col>
      <xdr:colOff>400050</xdr:colOff>
      <xdr:row>50</xdr:row>
      <xdr:rowOff>104775</xdr:rowOff>
    </xdr:to>
    <xdr:sp>
      <xdr:nvSpPr>
        <xdr:cNvPr id="35" name="Comment 35" hidden="1"/>
        <xdr:cNvSpPr>
          <a:spLocks/>
        </xdr:cNvSpPr>
      </xdr:nvSpPr>
      <xdr:spPr>
        <a:xfrm>
          <a:off x="2228850" y="9372600"/>
          <a:ext cx="809625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1. semifinále</a:t>
          </a:r>
        </a:p>
      </xdr:txBody>
    </xdr:sp>
    <xdr:clientData/>
  </xdr:twoCellAnchor>
  <xdr:twoCellAnchor editAs="absolute">
    <xdr:from>
      <xdr:col>7</xdr:col>
      <xdr:colOff>142875</xdr:colOff>
      <xdr:row>48</xdr:row>
      <xdr:rowOff>152400</xdr:rowOff>
    </xdr:from>
    <xdr:to>
      <xdr:col>11</xdr:col>
      <xdr:colOff>9525</xdr:colOff>
      <xdr:row>49</xdr:row>
      <xdr:rowOff>95250</xdr:rowOff>
    </xdr:to>
    <xdr:sp>
      <xdr:nvSpPr>
        <xdr:cNvPr id="36" name="Comment 36" hidden="1"/>
        <xdr:cNvSpPr>
          <a:spLocks/>
        </xdr:cNvSpPr>
      </xdr:nvSpPr>
      <xdr:spPr>
        <a:xfrm>
          <a:off x="2219325" y="9115425"/>
          <a:ext cx="1323975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skupina o 5.-7. místo</a:t>
          </a:r>
        </a:p>
      </xdr:txBody>
    </xdr:sp>
    <xdr:clientData/>
  </xdr:twoCellAnchor>
  <xdr:twoCellAnchor editAs="absolute">
    <xdr:from>
      <xdr:col>7</xdr:col>
      <xdr:colOff>142875</xdr:colOff>
      <xdr:row>50</xdr:row>
      <xdr:rowOff>152400</xdr:rowOff>
    </xdr:from>
    <xdr:to>
      <xdr:col>11</xdr:col>
      <xdr:colOff>9525</xdr:colOff>
      <xdr:row>51</xdr:row>
      <xdr:rowOff>95250</xdr:rowOff>
    </xdr:to>
    <xdr:sp>
      <xdr:nvSpPr>
        <xdr:cNvPr id="37" name="Comment 37" hidden="1"/>
        <xdr:cNvSpPr>
          <a:spLocks/>
        </xdr:cNvSpPr>
      </xdr:nvSpPr>
      <xdr:spPr>
        <a:xfrm>
          <a:off x="2219325" y="9610725"/>
          <a:ext cx="1323975" cy="1905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skupina o 5.-7. místo</a:t>
          </a:r>
        </a:p>
      </xdr:txBody>
    </xdr:sp>
    <xdr:clientData/>
  </xdr:twoCellAnchor>
  <xdr:twoCellAnchor editAs="absolute">
    <xdr:from>
      <xdr:col>7</xdr:col>
      <xdr:colOff>133350</xdr:colOff>
      <xdr:row>52</xdr:row>
      <xdr:rowOff>142875</xdr:rowOff>
    </xdr:from>
    <xdr:to>
      <xdr:col>12</xdr:col>
      <xdr:colOff>142875</xdr:colOff>
      <xdr:row>53</xdr:row>
      <xdr:rowOff>228600</xdr:rowOff>
    </xdr:to>
    <xdr:sp>
      <xdr:nvSpPr>
        <xdr:cNvPr id="38" name="Comment 38" hidden="1"/>
        <xdr:cNvSpPr>
          <a:spLocks/>
        </xdr:cNvSpPr>
      </xdr:nvSpPr>
      <xdr:spPr>
        <a:xfrm>
          <a:off x="2209800" y="10096500"/>
          <a:ext cx="1581150" cy="3333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/>
            <a:t>skupina o 5.-7. místo
lze i započíst již odehrané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J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116" customWidth="1"/>
    <col min="2" max="4" width="9.140625" style="116" customWidth="1"/>
  </cols>
  <sheetData>
    <row r="1" ht="4.5" customHeight="1" thickBot="1"/>
    <row r="2" spans="2:10" ht="25.5">
      <c r="B2" s="192" t="s">
        <v>65</v>
      </c>
      <c r="C2" s="193"/>
      <c r="D2" s="193"/>
      <c r="E2" s="193"/>
      <c r="F2" s="193"/>
      <c r="G2" s="193"/>
      <c r="H2" s="193"/>
      <c r="I2" s="193"/>
      <c r="J2" s="194"/>
    </row>
    <row r="3" spans="2:10" ht="16.5" thickBot="1">
      <c r="B3" s="186" t="s">
        <v>66</v>
      </c>
      <c r="C3" s="187"/>
      <c r="D3" s="187"/>
      <c r="E3" s="187"/>
      <c r="F3" s="187"/>
      <c r="G3" s="187"/>
      <c r="H3" s="187"/>
      <c r="I3" s="187"/>
      <c r="J3" s="188"/>
    </row>
    <row r="4" spans="2:10" ht="20.25">
      <c r="B4" s="183" t="s">
        <v>67</v>
      </c>
      <c r="C4" s="184"/>
      <c r="D4" s="184"/>
      <c r="E4" s="184"/>
      <c r="F4" s="184"/>
      <c r="G4" s="184"/>
      <c r="H4" s="184"/>
      <c r="I4" s="184"/>
      <c r="J4" s="185"/>
    </row>
    <row r="5" spans="2:10" ht="15.75">
      <c r="B5" s="186" t="s">
        <v>68</v>
      </c>
      <c r="C5" s="187"/>
      <c r="D5" s="187"/>
      <c r="E5" s="187"/>
      <c r="F5" s="187"/>
      <c r="G5" s="187"/>
      <c r="H5" s="187"/>
      <c r="I5" s="187"/>
      <c r="J5" s="188"/>
    </row>
    <row r="6" spans="2:10" ht="15.75">
      <c r="B6" s="186" t="s">
        <v>69</v>
      </c>
      <c r="C6" s="187"/>
      <c r="D6" s="187"/>
      <c r="E6" s="187"/>
      <c r="F6" s="187"/>
      <c r="G6" s="187"/>
      <c r="H6" s="187"/>
      <c r="I6" s="187"/>
      <c r="J6" s="188"/>
    </row>
    <row r="7" spans="2:10" ht="16.5" thickBot="1">
      <c r="B7" s="189" t="s">
        <v>70</v>
      </c>
      <c r="C7" s="190"/>
      <c r="D7" s="190"/>
      <c r="E7" s="190"/>
      <c r="F7" s="190"/>
      <c r="G7" s="190"/>
      <c r="H7" s="190"/>
      <c r="I7" s="190"/>
      <c r="J7" s="191"/>
    </row>
    <row r="8" spans="2:10" ht="20.25">
      <c r="B8" s="183" t="s">
        <v>71</v>
      </c>
      <c r="C8" s="184"/>
      <c r="D8" s="184"/>
      <c r="E8" s="184"/>
      <c r="F8" s="184"/>
      <c r="G8" s="184"/>
      <c r="H8" s="184"/>
      <c r="I8" s="184"/>
      <c r="J8" s="185"/>
    </row>
    <row r="9" spans="2:10" ht="15.75">
      <c r="B9" s="186" t="s">
        <v>72</v>
      </c>
      <c r="C9" s="187"/>
      <c r="D9" s="187"/>
      <c r="E9" s="187"/>
      <c r="F9" s="187"/>
      <c r="G9" s="187"/>
      <c r="H9" s="187"/>
      <c r="I9" s="187"/>
      <c r="J9" s="188"/>
    </row>
    <row r="10" spans="2:10" ht="15.75">
      <c r="B10" s="186" t="s">
        <v>73</v>
      </c>
      <c r="C10" s="187"/>
      <c r="D10" s="187"/>
      <c r="E10" s="187"/>
      <c r="F10" s="187"/>
      <c r="G10" s="187"/>
      <c r="H10" s="187"/>
      <c r="I10" s="187"/>
      <c r="J10" s="188"/>
    </row>
    <row r="11" spans="2:10" ht="15.75">
      <c r="B11" s="186" t="s">
        <v>74</v>
      </c>
      <c r="C11" s="187"/>
      <c r="D11" s="187"/>
      <c r="E11" s="187"/>
      <c r="F11" s="187"/>
      <c r="G11" s="187"/>
      <c r="H11" s="187"/>
      <c r="I11" s="187"/>
      <c r="J11" s="188"/>
    </row>
    <row r="12" spans="2:10" ht="15.75">
      <c r="B12" s="186" t="s">
        <v>75</v>
      </c>
      <c r="C12" s="187"/>
      <c r="D12" s="187"/>
      <c r="E12" s="187"/>
      <c r="F12" s="187"/>
      <c r="G12" s="187"/>
      <c r="H12" s="187"/>
      <c r="I12" s="187"/>
      <c r="J12" s="188"/>
    </row>
    <row r="13" spans="2:10" ht="16.5" thickBot="1">
      <c r="B13" s="186" t="s">
        <v>76</v>
      </c>
      <c r="C13" s="187"/>
      <c r="D13" s="187"/>
      <c r="E13" s="187"/>
      <c r="F13" s="187"/>
      <c r="G13" s="187"/>
      <c r="H13" s="187"/>
      <c r="I13" s="187"/>
      <c r="J13" s="188"/>
    </row>
    <row r="14" spans="2:10" ht="20.25">
      <c r="B14" s="183" t="s">
        <v>77</v>
      </c>
      <c r="C14" s="184"/>
      <c r="D14" s="184"/>
      <c r="E14" s="184"/>
      <c r="F14" s="184"/>
      <c r="G14" s="184"/>
      <c r="H14" s="184"/>
      <c r="I14" s="184"/>
      <c r="J14" s="185"/>
    </row>
    <row r="15" spans="2:10" ht="15.75">
      <c r="B15" s="177" t="s">
        <v>78</v>
      </c>
      <c r="C15" s="178"/>
      <c r="D15" s="178"/>
      <c r="E15" s="178"/>
      <c r="F15" s="178"/>
      <c r="G15" s="178"/>
      <c r="H15" s="178"/>
      <c r="I15" s="178"/>
      <c r="J15" s="179"/>
    </row>
    <row r="16" spans="2:10" ht="16.5" thickBot="1">
      <c r="B16" s="180" t="s">
        <v>79</v>
      </c>
      <c r="C16" s="181"/>
      <c r="D16" s="181"/>
      <c r="E16" s="181"/>
      <c r="F16" s="181"/>
      <c r="G16" s="181"/>
      <c r="H16" s="181"/>
      <c r="I16" s="181"/>
      <c r="J16" s="182"/>
    </row>
    <row r="17" spans="2:10" ht="20.25">
      <c r="B17" s="183" t="s">
        <v>80</v>
      </c>
      <c r="C17" s="184"/>
      <c r="D17" s="184"/>
      <c r="E17" s="184"/>
      <c r="F17" s="184"/>
      <c r="G17" s="184"/>
      <c r="H17" s="184"/>
      <c r="I17" s="184"/>
      <c r="J17" s="185"/>
    </row>
    <row r="18" spans="2:10" ht="15.75">
      <c r="B18" s="177" t="s">
        <v>81</v>
      </c>
      <c r="C18" s="178"/>
      <c r="D18" s="178"/>
      <c r="E18" s="178"/>
      <c r="F18" s="178"/>
      <c r="G18" s="178"/>
      <c r="H18" s="178"/>
      <c r="I18" s="178"/>
      <c r="J18" s="179"/>
    </row>
    <row r="19" spans="2:10" ht="16.5" thickBot="1">
      <c r="B19" s="180" t="s">
        <v>82</v>
      </c>
      <c r="C19" s="181"/>
      <c r="D19" s="181"/>
      <c r="E19" s="181"/>
      <c r="F19" s="181"/>
      <c r="G19" s="181"/>
      <c r="H19" s="181"/>
      <c r="I19" s="181"/>
      <c r="J19" s="182"/>
    </row>
  </sheetData>
  <sheetProtection sheet="1" objects="1" scenarios="1"/>
  <mergeCells count="18">
    <mergeCell ref="B2:J2"/>
    <mergeCell ref="B3:J3"/>
    <mergeCell ref="B4:J4"/>
    <mergeCell ref="B5:J5"/>
    <mergeCell ref="B10:J10"/>
    <mergeCell ref="B11:J11"/>
    <mergeCell ref="B12:J12"/>
    <mergeCell ref="B13:J13"/>
    <mergeCell ref="B6:J6"/>
    <mergeCell ref="B7:J7"/>
    <mergeCell ref="B8:J8"/>
    <mergeCell ref="B9:J9"/>
    <mergeCell ref="B18:J18"/>
    <mergeCell ref="B19:J19"/>
    <mergeCell ref="B14:J14"/>
    <mergeCell ref="B15:J15"/>
    <mergeCell ref="B16:J16"/>
    <mergeCell ref="B17:J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M70"/>
  <sheetViews>
    <sheetView showGridLines="0" zoomScalePageLayoutView="0" workbookViewId="0" topLeftCell="A1">
      <selection activeCell="E5" sqref="E5:G5"/>
    </sheetView>
  </sheetViews>
  <sheetFormatPr defaultColWidth="9.140625" defaultRowHeight="12.75"/>
  <cols>
    <col min="1" max="1" width="0.85546875" style="1" customWidth="1"/>
    <col min="2" max="2" width="6.7109375" style="1" customWidth="1"/>
    <col min="3" max="3" width="1.7109375" style="1" customWidth="1"/>
    <col min="4" max="5" width="6.7109375" style="2" customWidth="1"/>
    <col min="6" max="6" width="1.7109375" style="2" customWidth="1"/>
    <col min="7" max="8" width="6.7109375" style="2" customWidth="1"/>
    <col min="9" max="9" width="1.7109375" style="2" customWidth="1"/>
    <col min="10" max="11" width="6.7109375" style="2" customWidth="1"/>
    <col min="12" max="12" width="1.7109375" style="2" customWidth="1"/>
    <col min="13" max="14" width="6.7109375" style="2" customWidth="1"/>
    <col min="15" max="15" width="1.7109375" style="2" customWidth="1"/>
    <col min="16" max="16" width="6.7109375" style="2" customWidth="1"/>
    <col min="17" max="17" width="4.7109375" style="2" customWidth="1"/>
    <col min="18" max="18" width="1.7109375" style="2" customWidth="1"/>
    <col min="19" max="19" width="4.7109375" style="1" customWidth="1"/>
    <col min="20" max="20" width="6.7109375" style="1" customWidth="1"/>
    <col min="21" max="21" width="6.7109375" style="83" customWidth="1"/>
    <col min="22" max="34" width="2.7109375" style="77" hidden="1" customWidth="1"/>
  </cols>
  <sheetData>
    <row r="1" spans="4:18" ht="33.75">
      <c r="D1" s="215" t="s">
        <v>134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2:21" ht="15.75">
      <c r="B2" s="279" t="s">
        <v>158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ht="15.75" customHeight="1" thickBot="1"/>
    <row r="4" spans="1:34" s="6" customFormat="1" ht="19.5" customHeight="1">
      <c r="A4" s="3"/>
      <c r="B4" s="3"/>
      <c r="C4" s="3"/>
      <c r="D4" s="229" t="s">
        <v>4</v>
      </c>
      <c r="E4" s="230"/>
      <c r="F4" s="230"/>
      <c r="G4" s="231"/>
      <c r="H4" s="3"/>
      <c r="I4" s="3"/>
      <c r="J4" s="229" t="s">
        <v>4</v>
      </c>
      <c r="K4" s="230"/>
      <c r="L4" s="230"/>
      <c r="M4" s="231"/>
      <c r="N4" s="3"/>
      <c r="O4" s="227" t="s">
        <v>5</v>
      </c>
      <c r="P4" s="212"/>
      <c r="Q4" s="212"/>
      <c r="R4" s="212"/>
      <c r="S4" s="228"/>
      <c r="T4" s="3"/>
      <c r="U4" s="3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6" customFormat="1" ht="19.5" customHeight="1">
      <c r="A5" s="3"/>
      <c r="B5" s="3"/>
      <c r="C5" s="3"/>
      <c r="D5" s="125" t="s">
        <v>15</v>
      </c>
      <c r="E5" s="222"/>
      <c r="F5" s="222"/>
      <c r="G5" s="223"/>
      <c r="H5" s="3"/>
      <c r="I5" s="3"/>
      <c r="J5" s="125" t="s">
        <v>17</v>
      </c>
      <c r="K5" s="222"/>
      <c r="L5" s="222"/>
      <c r="M5" s="223"/>
      <c r="N5" s="3"/>
      <c r="O5" s="220" t="s">
        <v>6</v>
      </c>
      <c r="P5" s="221"/>
      <c r="Q5" s="221"/>
      <c r="R5" s="272">
        <v>3</v>
      </c>
      <c r="S5" s="273"/>
      <c r="T5" s="142"/>
      <c r="U5" s="3"/>
      <c r="Y5" s="78"/>
      <c r="Z5" s="78"/>
      <c r="AA5" s="78"/>
      <c r="AB5" s="78"/>
      <c r="AC5" s="78"/>
      <c r="AD5" s="78"/>
      <c r="AE5" s="78"/>
      <c r="AF5" s="78"/>
      <c r="AG5" s="78"/>
      <c r="AH5" s="78"/>
    </row>
    <row r="6" spans="1:34" s="6" customFormat="1" ht="19.5" customHeight="1">
      <c r="A6" s="3"/>
      <c r="B6" s="3"/>
      <c r="C6" s="3"/>
      <c r="D6" s="125" t="s">
        <v>16</v>
      </c>
      <c r="E6" s="222"/>
      <c r="F6" s="222"/>
      <c r="G6" s="223"/>
      <c r="H6" s="3"/>
      <c r="I6" s="3"/>
      <c r="J6" s="125" t="s">
        <v>19</v>
      </c>
      <c r="K6" s="222"/>
      <c r="L6" s="222"/>
      <c r="M6" s="223"/>
      <c r="N6" s="3"/>
      <c r="O6" s="220" t="s">
        <v>7</v>
      </c>
      <c r="P6" s="221"/>
      <c r="Q6" s="221"/>
      <c r="R6" s="274">
        <v>1</v>
      </c>
      <c r="S6" s="275"/>
      <c r="T6" s="142"/>
      <c r="U6" s="3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s="6" customFormat="1" ht="19.5" customHeight="1" thickBot="1">
      <c r="A7" s="3"/>
      <c r="B7" s="3"/>
      <c r="C7" s="3"/>
      <c r="D7" s="125" t="s">
        <v>18</v>
      </c>
      <c r="E7" s="222"/>
      <c r="F7" s="222"/>
      <c r="G7" s="223"/>
      <c r="H7" s="3"/>
      <c r="I7" s="3"/>
      <c r="J7" s="138" t="s">
        <v>20</v>
      </c>
      <c r="K7" s="207"/>
      <c r="L7" s="207"/>
      <c r="M7" s="208"/>
      <c r="N7" s="3"/>
      <c r="O7" s="205" t="s">
        <v>8</v>
      </c>
      <c r="P7" s="206"/>
      <c r="Q7" s="206"/>
      <c r="R7" s="276">
        <v>0</v>
      </c>
      <c r="S7" s="277"/>
      <c r="T7" s="142"/>
      <c r="U7" s="3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30" s="6" customFormat="1" ht="19.5" customHeight="1" thickBot="1">
      <c r="A8" s="3"/>
      <c r="B8" s="3"/>
      <c r="C8" s="3"/>
      <c r="D8" s="138" t="s">
        <v>117</v>
      </c>
      <c r="E8" s="238"/>
      <c r="F8" s="238"/>
      <c r="G8" s="239"/>
      <c r="H8" s="3"/>
      <c r="I8" s="3"/>
      <c r="J8" s="38"/>
      <c r="K8" s="38"/>
      <c r="L8" s="143"/>
      <c r="M8" s="29"/>
      <c r="N8" s="29"/>
      <c r="O8" s="3"/>
      <c r="P8" s="3"/>
      <c r="Q8" s="3"/>
      <c r="R8" s="3"/>
      <c r="S8" s="3"/>
      <c r="T8" s="3"/>
      <c r="U8" s="145"/>
      <c r="V8" s="78"/>
      <c r="W8" s="78"/>
      <c r="X8" s="78"/>
      <c r="Y8" s="78"/>
      <c r="Z8" s="78"/>
      <c r="AA8" s="78"/>
      <c r="AB8" s="78"/>
      <c r="AC8" s="78"/>
      <c r="AD8" s="78"/>
    </row>
    <row r="9" ht="19.5" customHeight="1" thickBot="1"/>
    <row r="10" spans="1:34" s="6" customFormat="1" ht="19.5" customHeight="1">
      <c r="A10" s="3"/>
      <c r="B10" s="3"/>
      <c r="C10" s="3"/>
      <c r="D10" s="29"/>
      <c r="E10" s="229" t="s">
        <v>9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Q10" s="29"/>
      <c r="R10" s="29"/>
      <c r="S10" s="3"/>
      <c r="T10" s="3"/>
      <c r="U10" s="84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s="6" customFormat="1" ht="19.5" customHeight="1">
      <c r="A11" s="3"/>
      <c r="B11" s="3"/>
      <c r="C11" s="3"/>
      <c r="D11" s="47"/>
      <c r="E11" s="99" t="s">
        <v>27</v>
      </c>
      <c r="F11" s="218" t="s">
        <v>21</v>
      </c>
      <c r="G11" s="219"/>
      <c r="H11" s="224">
        <f>IF(E5="","",E5)</f>
      </c>
      <c r="I11" s="225"/>
      <c r="J11" s="226"/>
      <c r="K11" s="210">
        <f>IF(E6="","",E6)</f>
      </c>
      <c r="L11" s="210"/>
      <c r="M11" s="211"/>
      <c r="N11" s="30"/>
      <c r="O11" s="14" t="s">
        <v>0</v>
      </c>
      <c r="P11" s="31"/>
      <c r="Q11" s="142">
        <v>12</v>
      </c>
      <c r="R11" s="46"/>
      <c r="S11" s="81"/>
      <c r="T11" s="3"/>
      <c r="U11" s="84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s="6" customFormat="1" ht="19.5" customHeight="1">
      <c r="A12" s="3"/>
      <c r="B12" s="3"/>
      <c r="C12" s="3"/>
      <c r="D12" s="47"/>
      <c r="E12" s="99" t="s">
        <v>28</v>
      </c>
      <c r="F12" s="218" t="s">
        <v>136</v>
      </c>
      <c r="G12" s="219"/>
      <c r="H12" s="209">
        <f>IF(E7="","",E7)</f>
      </c>
      <c r="I12" s="209"/>
      <c r="J12" s="209"/>
      <c r="K12" s="210">
        <f>IF(E8="","",E8)</f>
      </c>
      <c r="L12" s="210"/>
      <c r="M12" s="211"/>
      <c r="N12" s="30"/>
      <c r="O12" s="14" t="s">
        <v>0</v>
      </c>
      <c r="P12" s="31"/>
      <c r="Q12" s="142">
        <v>34</v>
      </c>
      <c r="R12" s="46"/>
      <c r="S12" s="81"/>
      <c r="T12" s="3"/>
      <c r="U12" s="84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</row>
    <row r="13" spans="1:34" s="6" customFormat="1" ht="19.5" customHeight="1">
      <c r="A13" s="3"/>
      <c r="B13" s="3"/>
      <c r="C13" s="3"/>
      <c r="D13" s="47"/>
      <c r="E13" s="99" t="s">
        <v>29</v>
      </c>
      <c r="F13" s="270" t="s">
        <v>22</v>
      </c>
      <c r="G13" s="218"/>
      <c r="H13" s="209">
        <f>IF(K5="","",K5)</f>
      </c>
      <c r="I13" s="209"/>
      <c r="J13" s="209"/>
      <c r="K13" s="210">
        <f>IF(K6="","",K6)</f>
      </c>
      <c r="L13" s="210"/>
      <c r="M13" s="211"/>
      <c r="N13" s="30"/>
      <c r="O13" s="14" t="s">
        <v>0</v>
      </c>
      <c r="P13" s="31"/>
      <c r="Q13" s="142">
        <v>13</v>
      </c>
      <c r="R13" s="46"/>
      <c r="S13" s="81"/>
      <c r="T13" s="3"/>
      <c r="U13" s="84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s="6" customFormat="1" ht="19.5" customHeight="1">
      <c r="A14" s="3"/>
      <c r="B14" s="3"/>
      <c r="C14" s="3"/>
      <c r="D14" s="47"/>
      <c r="E14" s="99" t="s">
        <v>31</v>
      </c>
      <c r="F14" s="218" t="s">
        <v>23</v>
      </c>
      <c r="G14" s="219"/>
      <c r="H14" s="209">
        <f>H11</f>
      </c>
      <c r="I14" s="209"/>
      <c r="J14" s="209"/>
      <c r="K14" s="210">
        <f>H12</f>
      </c>
      <c r="L14" s="210"/>
      <c r="M14" s="211"/>
      <c r="N14" s="30"/>
      <c r="O14" s="14" t="s">
        <v>0</v>
      </c>
      <c r="P14" s="31"/>
      <c r="Q14" s="142">
        <v>24</v>
      </c>
      <c r="R14" s="46"/>
      <c r="S14" s="81"/>
      <c r="T14" s="3"/>
      <c r="U14" s="84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s="6" customFormat="1" ht="19.5" customHeight="1">
      <c r="A15" s="3"/>
      <c r="B15" s="3"/>
      <c r="C15" s="3"/>
      <c r="D15" s="47"/>
      <c r="E15" s="99" t="s">
        <v>32</v>
      </c>
      <c r="F15" s="246" t="s">
        <v>137</v>
      </c>
      <c r="G15" s="247"/>
      <c r="H15" s="234">
        <f>K11</f>
      </c>
      <c r="I15" s="234"/>
      <c r="J15" s="234"/>
      <c r="K15" s="232">
        <f>K12</f>
      </c>
      <c r="L15" s="232"/>
      <c r="M15" s="233"/>
      <c r="N15" s="40"/>
      <c r="O15" s="41" t="s">
        <v>0</v>
      </c>
      <c r="P15" s="42"/>
      <c r="Q15" s="142">
        <v>14</v>
      </c>
      <c r="R15" s="46"/>
      <c r="S15" s="81"/>
      <c r="T15" s="3"/>
      <c r="U15" s="84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6" customFormat="1" ht="19.5" customHeight="1">
      <c r="A16" s="3"/>
      <c r="B16" s="3"/>
      <c r="C16" s="3"/>
      <c r="D16" s="47"/>
      <c r="E16" s="99" t="s">
        <v>33</v>
      </c>
      <c r="F16" s="270" t="s">
        <v>22</v>
      </c>
      <c r="G16" s="218"/>
      <c r="H16" s="209">
        <f>H13</f>
      </c>
      <c r="I16" s="209"/>
      <c r="J16" s="209"/>
      <c r="K16" s="210">
        <f>IF(K7="","",K7)</f>
      </c>
      <c r="L16" s="210"/>
      <c r="M16" s="211"/>
      <c r="N16" s="30"/>
      <c r="O16" s="14" t="s">
        <v>0</v>
      </c>
      <c r="P16" s="31"/>
      <c r="Q16" s="142">
        <v>23</v>
      </c>
      <c r="R16" s="46"/>
      <c r="S16" s="81"/>
      <c r="T16" s="3"/>
      <c r="U16" s="84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s="6" customFormat="1" ht="19.5" customHeight="1">
      <c r="A17" s="3"/>
      <c r="B17" s="3"/>
      <c r="C17" s="3"/>
      <c r="D17" s="47"/>
      <c r="E17" s="99" t="s">
        <v>37</v>
      </c>
      <c r="F17" s="246" t="s">
        <v>138</v>
      </c>
      <c r="G17" s="247"/>
      <c r="H17" s="234">
        <f>H11</f>
      </c>
      <c r="I17" s="234"/>
      <c r="J17" s="234"/>
      <c r="K17" s="232">
        <f>K12</f>
      </c>
      <c r="L17" s="232"/>
      <c r="M17" s="233"/>
      <c r="N17" s="40"/>
      <c r="O17" s="41" t="s">
        <v>0</v>
      </c>
      <c r="P17" s="42"/>
      <c r="Q17" s="3"/>
      <c r="R17" s="46"/>
      <c r="S17" s="81"/>
      <c r="T17" s="3"/>
      <c r="U17" s="84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9" s="6" customFormat="1" ht="19.5" customHeight="1">
      <c r="A18" s="3"/>
      <c r="B18" s="3"/>
      <c r="C18" s="3"/>
      <c r="D18" s="29"/>
      <c r="E18" s="99" t="s">
        <v>38</v>
      </c>
      <c r="F18" s="218" t="s">
        <v>25</v>
      </c>
      <c r="G18" s="219"/>
      <c r="H18" s="209">
        <f>K11</f>
      </c>
      <c r="I18" s="209"/>
      <c r="J18" s="209"/>
      <c r="K18" s="210">
        <f>H12</f>
      </c>
      <c r="L18" s="210"/>
      <c r="M18" s="211"/>
      <c r="N18" s="30"/>
      <c r="O18" s="14" t="s">
        <v>0</v>
      </c>
      <c r="P18" s="31"/>
      <c r="Q18" s="3"/>
      <c r="R18" s="46"/>
      <c r="S18" s="46"/>
      <c r="T18" s="3"/>
      <c r="U18" s="84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M18"/>
    </row>
    <row r="19" spans="1:34" s="6" customFormat="1" ht="19.5" customHeight="1" thickBot="1">
      <c r="A19" s="3"/>
      <c r="B19" s="3"/>
      <c r="C19" s="3"/>
      <c r="D19" s="29"/>
      <c r="E19" s="101" t="s">
        <v>39</v>
      </c>
      <c r="F19" s="278" t="s">
        <v>26</v>
      </c>
      <c r="G19" s="250"/>
      <c r="H19" s="235">
        <f>K13</f>
      </c>
      <c r="I19" s="235"/>
      <c r="J19" s="235"/>
      <c r="K19" s="248">
        <f>K16</f>
      </c>
      <c r="L19" s="248"/>
      <c r="M19" s="249"/>
      <c r="N19" s="50"/>
      <c r="O19" s="43" t="s">
        <v>0</v>
      </c>
      <c r="P19" s="44"/>
      <c r="Q19" s="46"/>
      <c r="R19" s="46"/>
      <c r="S19" s="46"/>
      <c r="T19" s="3"/>
      <c r="U19" s="84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ht="19.5" customHeight="1" thickBot="1">
      <c r="AM20" s="6"/>
    </row>
    <row r="21" spans="1:34" s="6" customFormat="1" ht="30" customHeight="1">
      <c r="A21" s="3"/>
      <c r="B21" s="195" t="s">
        <v>30</v>
      </c>
      <c r="C21" s="196"/>
      <c r="D21" s="197"/>
      <c r="E21" s="203">
        <f>H11</f>
      </c>
      <c r="F21" s="203"/>
      <c r="G21" s="203"/>
      <c r="H21" s="203">
        <f>K11</f>
      </c>
      <c r="I21" s="203"/>
      <c r="J21" s="203"/>
      <c r="K21" s="203">
        <f>H12</f>
      </c>
      <c r="L21" s="203"/>
      <c r="M21" s="203"/>
      <c r="N21" s="203">
        <f>K12</f>
      </c>
      <c r="O21" s="203"/>
      <c r="P21" s="203"/>
      <c r="Q21" s="212" t="s">
        <v>1</v>
      </c>
      <c r="R21" s="212"/>
      <c r="S21" s="212"/>
      <c r="T21" s="4" t="s">
        <v>2</v>
      </c>
      <c r="U21" s="5" t="s">
        <v>3</v>
      </c>
      <c r="V21" s="78"/>
      <c r="W21" s="78"/>
      <c r="X21" s="86">
        <v>10</v>
      </c>
      <c r="Y21" s="85"/>
      <c r="Z21" s="86">
        <v>9</v>
      </c>
      <c r="AA21" s="85"/>
      <c r="AB21" s="86">
        <v>8</v>
      </c>
      <c r="AC21" s="85"/>
      <c r="AD21" s="86">
        <v>7</v>
      </c>
      <c r="AE21" s="85"/>
      <c r="AF21" s="86">
        <v>4</v>
      </c>
      <c r="AG21" s="85"/>
      <c r="AH21" s="86" t="s">
        <v>62</v>
      </c>
    </row>
    <row r="22" spans="1:34" s="6" customFormat="1" ht="30" customHeight="1">
      <c r="A22" s="32">
        <v>1</v>
      </c>
      <c r="B22" s="198">
        <f>E21</f>
      </c>
      <c r="C22" s="199"/>
      <c r="D22" s="199"/>
      <c r="E22" s="7">
        <f>IF(H22&gt;J22,R5,IF(H22=J22,R6,R7))</f>
        <v>1</v>
      </c>
      <c r="F22" s="8">
        <f>IF(K22&gt;M22,R5,IF(K22=M22,R6,R7))</f>
        <v>1</v>
      </c>
      <c r="G22" s="9">
        <f>IF(N22&gt;P22,R5,IF(N22=P22,R6,R7))</f>
        <v>1</v>
      </c>
      <c r="H22" s="10">
        <f>IF(P11="","",N11)</f>
      </c>
      <c r="I22" s="11" t="s">
        <v>0</v>
      </c>
      <c r="J22" s="12">
        <f>IF(P11="","",P11)</f>
      </c>
      <c r="K22" s="10">
        <f>IF(P14="","",N14)</f>
      </c>
      <c r="L22" s="11" t="s">
        <v>0</v>
      </c>
      <c r="M22" s="12">
        <f>IF(P14="","",P14)</f>
      </c>
      <c r="N22" s="10">
        <f>IF(P17="","",N17)</f>
      </c>
      <c r="O22" s="11" t="s">
        <v>0</v>
      </c>
      <c r="P22" s="12">
        <f>IF(P17="","",P17)</f>
      </c>
      <c r="Q22" s="13">
        <f>IF(P18="","",H22+K22+N22)</f>
      </c>
      <c r="R22" s="14" t="s">
        <v>0</v>
      </c>
      <c r="S22" s="15">
        <f>IF(P18="","",J22+M22+P22)</f>
      </c>
      <c r="T22" s="16">
        <f>IF(P18="","",SUM(E22:G22))</f>
      </c>
      <c r="U22" s="17">
        <f>IF(P18="","",AH22&amp;".")</f>
      </c>
      <c r="V22" s="78">
        <f>SUM(E22:G22)</f>
        <v>3</v>
      </c>
      <c r="W22" s="78" t="e">
        <f>0.001*(Q22-S22)+0.00001*Q22</f>
        <v>#VALUE!</v>
      </c>
      <c r="X22" s="87">
        <f>RANK(V22,$V$22:$V$25)</f>
        <v>1</v>
      </c>
      <c r="Y22" s="79" t="e">
        <f>IF(A22=$Y$31,V22+0.1+W22,V22+W22)</f>
        <v>#N/A</v>
      </c>
      <c r="Z22" s="87" t="e">
        <f>RANK(Y22,$Y$22:$Y$25)</f>
        <v>#N/A</v>
      </c>
      <c r="AA22" s="79" t="e">
        <f>IF(A22=$AA$30,V22+0.1+W22,IF(A22=$AB$30,V22+0.1+W22,V22+W22))</f>
        <v>#N/A</v>
      </c>
      <c r="AB22" s="87" t="e">
        <f>RANK(AA22,$AA$22:$AA$25)</f>
        <v>#N/A</v>
      </c>
      <c r="AC22" s="79" t="e">
        <f>IF(A22=AC27,V22+G34,IF(A22=AC28,V22+J35,IF(A22=AC29,V22+M36,V22+W22)))</f>
        <v>#N/A</v>
      </c>
      <c r="AD22" s="88" t="e">
        <f>RANK(AC22,$AC$22:$AC$25)</f>
        <v>#N/A</v>
      </c>
      <c r="AE22" s="79"/>
      <c r="AF22" s="87" t="e">
        <f>RANK(W22,$W$22:$W$25)</f>
        <v>#VALUE!</v>
      </c>
      <c r="AG22" s="61"/>
      <c r="AH22" s="87" t="e">
        <f>IF($X$26=10,X22,IF($X$26=9,Z22,IF($X$26=8,AB22,IF($X$26=7,AD22,AF22))))</f>
        <v>#VALUE!</v>
      </c>
    </row>
    <row r="23" spans="1:34" s="6" customFormat="1" ht="30" customHeight="1">
      <c r="A23" s="32">
        <v>2</v>
      </c>
      <c r="B23" s="198">
        <f>H21</f>
      </c>
      <c r="C23" s="199"/>
      <c r="D23" s="199"/>
      <c r="E23" s="10">
        <f>J22</f>
      </c>
      <c r="F23" s="11" t="s">
        <v>0</v>
      </c>
      <c r="G23" s="12">
        <f>H22</f>
      </c>
      <c r="H23" s="7">
        <f>IF(E23&gt;G23,R5,IF(E23=G23,R6,R7))</f>
        <v>1</v>
      </c>
      <c r="I23" s="8">
        <f>IF(K23&gt;M23,R5,IF(K23=M23,R6,R7))</f>
        <v>1</v>
      </c>
      <c r="J23" s="9">
        <f>IF(N23&gt;P23,R5,IF(N23=P23,R6,R7))</f>
        <v>1</v>
      </c>
      <c r="K23" s="10">
        <f>IF(P18="","",N18)</f>
      </c>
      <c r="L23" s="11" t="s">
        <v>0</v>
      </c>
      <c r="M23" s="12">
        <f>IF(P18="","",P18)</f>
      </c>
      <c r="N23" s="10">
        <f>IF(P15="","",N15)</f>
      </c>
      <c r="O23" s="11" t="s">
        <v>0</v>
      </c>
      <c r="P23" s="12">
        <f>IF(P15="","",P15)</f>
      </c>
      <c r="Q23" s="13">
        <f>IF(P18="","",E23+K23+N23)</f>
      </c>
      <c r="R23" s="14" t="s">
        <v>0</v>
      </c>
      <c r="S23" s="15">
        <f>IF(P18="","",G23+M23+P23)</f>
      </c>
      <c r="T23" s="16">
        <f>IF(P18="","",SUM(H23:J23))</f>
      </c>
      <c r="U23" s="17">
        <f>IF(P18="","",AH23&amp;".")</f>
      </c>
      <c r="V23" s="78">
        <f>SUM(H23:J23)</f>
        <v>3</v>
      </c>
      <c r="W23" s="78" t="e">
        <f>0.001*(Q23-S23)+0.00001*Q23</f>
        <v>#VALUE!</v>
      </c>
      <c r="X23" s="87">
        <f>RANK(V23,$V$22:$V$25)</f>
        <v>1</v>
      </c>
      <c r="Y23" s="79" t="e">
        <f>IF(A23=$Y$31,V23+0.1+W23,V23+W23)</f>
        <v>#N/A</v>
      </c>
      <c r="Z23" s="87" t="e">
        <f>RANK(Y23,$Y$22:$Y$25)</f>
        <v>#N/A</v>
      </c>
      <c r="AA23" s="79" t="e">
        <f>IF(A23=$AA$30,V23+0.1+W23,IF(A23=$AB$30,V23+0.1+W23,V23+W23))</f>
        <v>#N/A</v>
      </c>
      <c r="AB23" s="87" t="e">
        <f>RANK(AA23,$AA$22:$AA$25)</f>
        <v>#N/A</v>
      </c>
      <c r="AC23" s="79" t="e">
        <f>IF(A23=AC27,V23+G34,IF(A23=AC28,V23+J35,IF(A23=AC29,V23+M36,V23+W23)))</f>
        <v>#N/A</v>
      </c>
      <c r="AD23" s="88" t="e">
        <f>RANK(AC23,$AC$22:$AC$25)</f>
        <v>#N/A</v>
      </c>
      <c r="AE23" s="79"/>
      <c r="AF23" s="87" t="e">
        <f>RANK(W23,$W$22:$W$25)</f>
        <v>#VALUE!</v>
      </c>
      <c r="AG23" s="61"/>
      <c r="AH23" s="87" t="e">
        <f>IF($X$26=10,X23,IF($X$26=9,Z23,IF($X$26=8,AB23,IF($X$26=7,AD23,AF23))))</f>
        <v>#VALUE!</v>
      </c>
    </row>
    <row r="24" spans="1:39" s="6" customFormat="1" ht="30" customHeight="1">
      <c r="A24" s="32">
        <v>3</v>
      </c>
      <c r="B24" s="198">
        <f>K21</f>
      </c>
      <c r="C24" s="199"/>
      <c r="D24" s="199"/>
      <c r="E24" s="10">
        <f>M22</f>
      </c>
      <c r="F24" s="11" t="s">
        <v>0</v>
      </c>
      <c r="G24" s="12">
        <f>K22</f>
      </c>
      <c r="H24" s="10">
        <f>M23</f>
      </c>
      <c r="I24" s="11" t="s">
        <v>0</v>
      </c>
      <c r="J24" s="12">
        <f>K23</f>
      </c>
      <c r="K24" s="64">
        <f>IF(E24&gt;G24,R5,IF(E24=G24,R6,R7))</f>
        <v>1</v>
      </c>
      <c r="L24" s="8">
        <f>IF(H24&gt;J24,R5,IF(H24=J24,R6,R7))</f>
        <v>1</v>
      </c>
      <c r="M24" s="65">
        <f>IF(N24&gt;P24,R5,IF(N24=P24,R6,R7))</f>
        <v>1</v>
      </c>
      <c r="N24" s="10">
        <f>IF(P12="","",N12)</f>
      </c>
      <c r="O24" s="11" t="s">
        <v>0</v>
      </c>
      <c r="P24" s="12">
        <f>IF(P12="","",P12)</f>
      </c>
      <c r="Q24" s="13">
        <f>IF(P18="","",E24+H24+N24)</f>
      </c>
      <c r="R24" s="14" t="s">
        <v>0</v>
      </c>
      <c r="S24" s="15">
        <f>IF(P18="","",G24+J24+P24)</f>
      </c>
      <c r="T24" s="16">
        <f>IF(P18="","",SUM(K24:M24))</f>
      </c>
      <c r="U24" s="17">
        <f>IF(P18="","",AH24&amp;".")</f>
      </c>
      <c r="V24" s="78">
        <f>SUM(K24:M24)</f>
        <v>3</v>
      </c>
      <c r="W24" s="78" t="e">
        <f>0.001*(Q24-S24)+0.00001*Q24</f>
        <v>#VALUE!</v>
      </c>
      <c r="X24" s="87">
        <f>RANK(V24,$V$22:$V$25)</f>
        <v>1</v>
      </c>
      <c r="Y24" s="79" t="e">
        <f>IF(A24=$Y$31,V24+0.1+W24,V24+W24)</f>
        <v>#N/A</v>
      </c>
      <c r="Z24" s="87" t="e">
        <f>RANK(Y24,$Y$22:$Y$25)</f>
        <v>#N/A</v>
      </c>
      <c r="AA24" s="79" t="e">
        <f>IF(A24=$AA$30,V24+0.1+W24,IF(A24=$AB$30,V24+0.1+W24,V24+W24))</f>
        <v>#N/A</v>
      </c>
      <c r="AB24" s="87" t="e">
        <f>RANK(AA24,$AA$22:$AA$25)</f>
        <v>#N/A</v>
      </c>
      <c r="AC24" s="79" t="e">
        <f>IF(A24=AC27,V24+G34,IF(A24=AC28,V24+J35,IF(A24=AC29,V24+M36,V22+W24)))</f>
        <v>#N/A</v>
      </c>
      <c r="AD24" s="88" t="e">
        <f>RANK(AC24,$AC$22:$AC$25)</f>
        <v>#N/A</v>
      </c>
      <c r="AE24" s="79"/>
      <c r="AF24" s="87" t="e">
        <f>RANK(W24,$W$22:$W$25)</f>
        <v>#VALUE!</v>
      </c>
      <c r="AG24" s="61"/>
      <c r="AH24" s="87" t="e">
        <f>IF($X$26=10,X24,IF($X$26=9,Z24,IF($X$26=8,AB24,IF($X$26=7,AD24,AF24))))</f>
        <v>#VALUE!</v>
      </c>
      <c r="AM24"/>
    </row>
    <row r="25" spans="1:39" s="6" customFormat="1" ht="30" customHeight="1" thickBot="1">
      <c r="A25" s="32">
        <v>4</v>
      </c>
      <c r="B25" s="200">
        <f>N21</f>
      </c>
      <c r="C25" s="201"/>
      <c r="D25" s="202"/>
      <c r="E25" s="51">
        <f>P22</f>
      </c>
      <c r="F25" s="52" t="s">
        <v>0</v>
      </c>
      <c r="G25" s="53">
        <f>N22</f>
      </c>
      <c r="H25" s="51">
        <f>P23</f>
      </c>
      <c r="I25" s="52" t="s">
        <v>0</v>
      </c>
      <c r="J25" s="53">
        <f>N23</f>
      </c>
      <c r="K25" s="51">
        <f>P24</f>
      </c>
      <c r="L25" s="52" t="s">
        <v>0</v>
      </c>
      <c r="M25" s="53">
        <f>N24</f>
      </c>
      <c r="N25" s="21">
        <f>IF(E25&gt;G25,R5,IF(E25=G25,R6,R7))</f>
        <v>1</v>
      </c>
      <c r="O25" s="66">
        <f>IF(H25&gt;J25,R5,IF(H25=J25,R6,R7))</f>
        <v>1</v>
      </c>
      <c r="P25" s="23">
        <f>IF(K25&gt;M25,R5,IF(K25=M25,R6,R7))</f>
        <v>1</v>
      </c>
      <c r="Q25" s="54">
        <f>IF(P18="","",E25+H25+K25)</f>
      </c>
      <c r="R25" s="43" t="s">
        <v>0</v>
      </c>
      <c r="S25" s="55">
        <f>IF(P18="","",G25+J25+M25)</f>
      </c>
      <c r="T25" s="56">
        <f>IF(P18="","",SUM(N25:P25))</f>
      </c>
      <c r="U25" s="28">
        <f>IF(P18="","",AH25&amp;".")</f>
      </c>
      <c r="V25" s="78">
        <f>SUM(N25:P25)</f>
        <v>3</v>
      </c>
      <c r="W25" s="78" t="e">
        <f>0.001*(Q25-S25)+0.00001*Q25</f>
        <v>#VALUE!</v>
      </c>
      <c r="X25" s="87">
        <f>RANK(V25,$V$22:$V$25)</f>
        <v>1</v>
      </c>
      <c r="Y25" s="79" t="e">
        <f>IF(A25=$Y$31,V25+0.1+W25,V25+W25)</f>
        <v>#N/A</v>
      </c>
      <c r="Z25" s="87" t="e">
        <f>RANK(Y25,$Y$22:$Y$25)</f>
        <v>#N/A</v>
      </c>
      <c r="AA25" s="79" t="e">
        <f>IF(A25=$AA$30,V25+0.1+W25,IF(A25=$AB$30,V25+0.1+W25,V25+W25))</f>
        <v>#N/A</v>
      </c>
      <c r="AB25" s="87" t="e">
        <f>RANK(AA25,$AA$22:$AA$25)</f>
        <v>#N/A</v>
      </c>
      <c r="AC25" s="79" t="e">
        <f>IF(A25=AC27,V25+G34,IF(A25=AC28,V25+J35,IF(A25=AC29,V25+M36,V25+W25)))</f>
        <v>#N/A</v>
      </c>
      <c r="AD25" s="88" t="e">
        <f>RANK(AC25,$AC$22:$AC$25)</f>
        <v>#N/A</v>
      </c>
      <c r="AE25" s="79"/>
      <c r="AF25" s="87" t="e">
        <f>RANK(W25,$W$22:$W$25)</f>
        <v>#VALUE!</v>
      </c>
      <c r="AG25" s="61"/>
      <c r="AH25" s="87" t="e">
        <f>IF($X$26=10,X25,IF($X$26=9,Z25,IF($X$26=8,AB25,IF($X$26=7,AD25,AF25))))</f>
        <v>#VALUE!</v>
      </c>
      <c r="AM25"/>
    </row>
    <row r="26" spans="4:29" ht="15.75" hidden="1"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6"/>
      <c r="T26" s="156"/>
      <c r="U26" s="157"/>
      <c r="W26" s="79"/>
      <c r="X26" s="86">
        <f>SUM(X22:X25)</f>
        <v>4</v>
      </c>
      <c r="Y26" s="62">
        <f>IF(COUNTIF(X21:X25,1)=2,1,IF(COUNTIF(X21:X25,2)=2,2,IF(COUNTIF(X21:X25,3)=2,3,IF(COUNTIF(X21:X25,4)=2,4,5))))</f>
        <v>5</v>
      </c>
      <c r="AA26" s="77">
        <f>MATCH(1,X22:X25,0)</f>
        <v>1</v>
      </c>
      <c r="AB26" s="77" t="e">
        <f>MATCH(3,X22:X25,0)</f>
        <v>#N/A</v>
      </c>
      <c r="AC26" s="77">
        <f>IF(COUNTIF(X22:X25,1)=3,1,2)</f>
        <v>2</v>
      </c>
    </row>
    <row r="27" spans="19:30" ht="15.75" hidden="1">
      <c r="S27" s="80"/>
      <c r="T27" s="80"/>
      <c r="Y27" s="62" t="e">
        <f>MATCH(Y26,X22:X25,0)</f>
        <v>#N/A</v>
      </c>
      <c r="AA27" s="77">
        <f>IF(AA26=1,MATCH(1,X23:X25,0)+1,IF(AA26=1,MATCH(1,X23:X25,0)+2,4))</f>
        <v>2</v>
      </c>
      <c r="AB27" s="77" t="e">
        <f>IF(AB26=1,MATCH(3,X23:X25,0)+1,IF(AB26=1,MATCH(3,X24:X25,0)+2,4))</f>
        <v>#N/A</v>
      </c>
      <c r="AC27" s="62" t="e">
        <f>MATCH(AC26,X22:X25,0)</f>
        <v>#N/A</v>
      </c>
      <c r="AD27" s="62"/>
    </row>
    <row r="28" spans="19:30" ht="15.75" hidden="1">
      <c r="S28" s="80"/>
      <c r="T28" s="80"/>
      <c r="Y28" s="62" t="e">
        <f>IF(Y27=1,MATCH(Y26,X23:X25,0)+1,IF(Y27=2,MATCH(Y26,X24:X25,0)+2,4))</f>
        <v>#N/A</v>
      </c>
      <c r="AA28" s="62">
        <f>10*AA26+AA27</f>
        <v>12</v>
      </c>
      <c r="AB28" s="62" t="e">
        <f>10*AB26+AB27</f>
        <v>#N/A</v>
      </c>
      <c r="AC28" s="62" t="e">
        <f>IF(AC27=1,MATCH(AC26,X23:X25,0)+1,IF(AC27=2,MATCH(AC26,X24:X25,0)+2,4))</f>
        <v>#N/A</v>
      </c>
      <c r="AD28" s="62"/>
    </row>
    <row r="29" spans="19:30" ht="15.75" hidden="1">
      <c r="S29" s="80"/>
      <c r="T29" s="80"/>
      <c r="Y29" s="62" t="e">
        <f>10*Y27+Y28</f>
        <v>#N/A</v>
      </c>
      <c r="AA29" s="62">
        <f>MATCH(AA28,Q11:Q16,0)</f>
        <v>1</v>
      </c>
      <c r="AB29" s="62" t="e">
        <f>MATCH(AB28,Q11:Q16,0)</f>
        <v>#N/A</v>
      </c>
      <c r="AC29" s="62" t="e">
        <f>IF(AC28=2,MATCH(AC26,X24:X25,0)+2,4)</f>
        <v>#N/A</v>
      </c>
      <c r="AD29" s="62"/>
    </row>
    <row r="30" spans="19:30" ht="15.75" hidden="1">
      <c r="S30" s="80"/>
      <c r="T30" s="80"/>
      <c r="Y30" s="62" t="e">
        <f>MATCH(Y29,Q11:Q16,0)</f>
        <v>#N/A</v>
      </c>
      <c r="AA30" s="62">
        <f>IF(INDEX(N11:N18,AA29)=INDEX(P11:P18,AA29),0,IF(INDEX(N11:N18,AA29)&gt;INDEX(P11:P18,AA29),AA26,AA27))</f>
        <v>0</v>
      </c>
      <c r="AB30" s="62" t="e">
        <f>IF(INDEX(N11:N18,AB29)=INDEX(P11:P18,AB29),0,IF(INDEX(N11:N18,AB29)&gt;INDEX(P11:P18,AB29),AB26,AB27))</f>
        <v>#N/A</v>
      </c>
      <c r="AC30" s="62" t="e">
        <f>AC27*10+AC28</f>
        <v>#N/A</v>
      </c>
      <c r="AD30" s="62" t="e">
        <f>MATCH(AC30,Q11:Q16,0)</f>
        <v>#N/A</v>
      </c>
    </row>
    <row r="31" spans="19:39" ht="15.75" hidden="1">
      <c r="S31" s="80"/>
      <c r="T31" s="80"/>
      <c r="Y31" s="62" t="e">
        <f>IF(INDEX(N11:N18,Y30)=INDEX(P11:P18,Y30),0,IF(INDEX(N11:N18,Y30)&gt;INDEX(P11:P18,Y30),Y27,Y28))</f>
        <v>#N/A</v>
      </c>
      <c r="AC31" s="62" t="e">
        <f>AC27*10+AC29</f>
        <v>#N/A</v>
      </c>
      <c r="AD31" s="62" t="e">
        <f>MATCH(AC31,Q11:Q16,0)</f>
        <v>#N/A</v>
      </c>
      <c r="AM31" s="6"/>
    </row>
    <row r="32" spans="6:39" ht="16.5" hidden="1" thickBot="1">
      <c r="F32" s="2">
        <v>1</v>
      </c>
      <c r="G32" s="2">
        <v>1</v>
      </c>
      <c r="I32" s="2">
        <v>1</v>
      </c>
      <c r="J32" s="2">
        <v>1</v>
      </c>
      <c r="L32" s="2">
        <v>1</v>
      </c>
      <c r="M32" s="2">
        <v>1</v>
      </c>
      <c r="O32" s="2">
        <v>1</v>
      </c>
      <c r="P32" s="2">
        <v>1</v>
      </c>
      <c r="R32" s="2">
        <v>1</v>
      </c>
      <c r="S32" s="80">
        <v>1</v>
      </c>
      <c r="T32" s="80"/>
      <c r="AC32" s="62" t="e">
        <f>AC28*10+AC29</f>
        <v>#N/A</v>
      </c>
      <c r="AD32" s="62" t="e">
        <f>MATCH(AC32,Q11:Q16,0)</f>
        <v>#N/A</v>
      </c>
      <c r="AM32" s="6"/>
    </row>
    <row r="33" spans="1:34" s="6" customFormat="1" ht="15.75" customHeight="1" hidden="1">
      <c r="A33" s="3"/>
      <c r="B33" s="195" t="s">
        <v>30</v>
      </c>
      <c r="C33" s="196"/>
      <c r="D33" s="197"/>
      <c r="E33" s="203" t="e">
        <f>INDEX(E5:E8,AC27)</f>
        <v>#N/A</v>
      </c>
      <c r="F33" s="203"/>
      <c r="G33" s="203"/>
      <c r="H33" s="203" t="e">
        <f>INDEX(E5:E8,AC28)</f>
        <v>#N/A</v>
      </c>
      <c r="I33" s="203"/>
      <c r="J33" s="203"/>
      <c r="K33" s="203" t="e">
        <f>INDEX(E5:E8,AC29)</f>
        <v>#N/A</v>
      </c>
      <c r="L33" s="203"/>
      <c r="M33" s="203"/>
      <c r="N33" s="212" t="s">
        <v>1</v>
      </c>
      <c r="O33" s="212"/>
      <c r="P33" s="212"/>
      <c r="Q33" s="4" t="s">
        <v>2</v>
      </c>
      <c r="R33" s="244" t="s">
        <v>3</v>
      </c>
      <c r="S33" s="245"/>
      <c r="T33" s="3"/>
      <c r="U33" s="84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s="6" customFormat="1" ht="15.75" customHeight="1" hidden="1">
      <c r="A34" s="3"/>
      <c r="B34" s="198" t="e">
        <f>E33</f>
        <v>#N/A</v>
      </c>
      <c r="C34" s="199"/>
      <c r="D34" s="199"/>
      <c r="E34" s="7" t="e">
        <f>IF(H34&gt;J34,R5,IF(H34=J34,R6,R7))</f>
        <v>#N/A</v>
      </c>
      <c r="F34" s="8" t="e">
        <f>IF(K34&gt;M34,R5,IF(K34=M34,R6,R7))</f>
        <v>#N/A</v>
      </c>
      <c r="G34" s="9" t="e">
        <f>0.001*(N34-P34)+0.00001*N34+0.00001*W22</f>
        <v>#N/A</v>
      </c>
      <c r="H34" s="10" t="e">
        <f>INDEX(N11:N18,AD30)</f>
        <v>#N/A</v>
      </c>
      <c r="I34" s="11" t="s">
        <v>0</v>
      </c>
      <c r="J34" s="12" t="e">
        <f>INDEX(P11:P18,AD30)</f>
        <v>#N/A</v>
      </c>
      <c r="K34" s="10" t="e">
        <f>INDEX(N11:N18,AD31)</f>
        <v>#N/A</v>
      </c>
      <c r="L34" s="11" t="s">
        <v>0</v>
      </c>
      <c r="M34" s="12" t="e">
        <f>INDEX(P11:P18,AD31)</f>
        <v>#N/A</v>
      </c>
      <c r="N34" s="13" t="e">
        <f>H34+K34</f>
        <v>#N/A</v>
      </c>
      <c r="O34" s="14" t="s">
        <v>0</v>
      </c>
      <c r="P34" s="15" t="e">
        <f>J34+M34</f>
        <v>#N/A</v>
      </c>
      <c r="Q34" s="16" t="e">
        <f>SUM(E34:G34)</f>
        <v>#N/A</v>
      </c>
      <c r="R34" s="240" t="e">
        <f>RANK(Q34,$Q$34:$Q$36)</f>
        <v>#N/A</v>
      </c>
      <c r="S34" s="241"/>
      <c r="T34" s="3" t="e">
        <f>R34&amp;"."</f>
        <v>#N/A</v>
      </c>
      <c r="U34" s="84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9" s="6" customFormat="1" ht="15.75" customHeight="1" hidden="1">
      <c r="A35" s="3"/>
      <c r="B35" s="198" t="e">
        <f>H33</f>
        <v>#N/A</v>
      </c>
      <c r="C35" s="199"/>
      <c r="D35" s="199"/>
      <c r="E35" s="10" t="e">
        <f>J34</f>
        <v>#N/A</v>
      </c>
      <c r="F35" s="11" t="s">
        <v>0</v>
      </c>
      <c r="G35" s="12" t="e">
        <f>H34</f>
        <v>#N/A</v>
      </c>
      <c r="H35" s="7" t="e">
        <f>IF(E35&gt;G35,R5,IF(E35=G35,R6,R7))</f>
        <v>#N/A</v>
      </c>
      <c r="I35" s="8" t="e">
        <f>IF(K35&gt;M35,R5,IF(K35=M35,R6,R7))</f>
        <v>#N/A</v>
      </c>
      <c r="J35" s="9" t="e">
        <f>0.001*(N35-P35)+0.00001*N35+0.00001*W23</f>
        <v>#N/A</v>
      </c>
      <c r="K35" s="10" t="e">
        <f>INDEX(N11:N18,AD32)</f>
        <v>#N/A</v>
      </c>
      <c r="L35" s="11" t="s">
        <v>0</v>
      </c>
      <c r="M35" s="12" t="e">
        <f>INDEX(P11:P18,AD32)</f>
        <v>#N/A</v>
      </c>
      <c r="N35" s="13" t="e">
        <f>E35+K35</f>
        <v>#N/A</v>
      </c>
      <c r="O35" s="14" t="s">
        <v>0</v>
      </c>
      <c r="P35" s="15" t="e">
        <f>G35+M35</f>
        <v>#N/A</v>
      </c>
      <c r="Q35" s="16" t="e">
        <f>SUM(H35:J35)</f>
        <v>#N/A</v>
      </c>
      <c r="R35" s="240" t="e">
        <f>RANK(Q35,$Q$34:$Q$36)</f>
        <v>#N/A</v>
      </c>
      <c r="S35" s="241"/>
      <c r="T35" s="3" t="e">
        <f>R35&amp;"."</f>
        <v>#N/A</v>
      </c>
      <c r="U35" s="84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M35"/>
    </row>
    <row r="36" spans="1:39" s="6" customFormat="1" ht="15.75" customHeight="1" hidden="1" thickBot="1">
      <c r="A36" s="3"/>
      <c r="B36" s="200" t="e">
        <f>K33</f>
        <v>#N/A</v>
      </c>
      <c r="C36" s="201"/>
      <c r="D36" s="202"/>
      <c r="E36" s="18" t="e">
        <f>M34</f>
        <v>#N/A</v>
      </c>
      <c r="F36" s="19" t="s">
        <v>0</v>
      </c>
      <c r="G36" s="20" t="e">
        <f>K34</f>
        <v>#N/A</v>
      </c>
      <c r="H36" s="18" t="e">
        <f>M35</f>
        <v>#N/A</v>
      </c>
      <c r="I36" s="19" t="s">
        <v>0</v>
      </c>
      <c r="J36" s="20" t="e">
        <f>K35</f>
        <v>#N/A</v>
      </c>
      <c r="K36" s="82" t="e">
        <f>IF(E36&gt;G36,R5,IF(E36=G36,R6,R7))</f>
        <v>#N/A</v>
      </c>
      <c r="L36" s="22" t="e">
        <f>IF(H36&gt;J36,R5,IF(H36=J36,R6,R7))</f>
        <v>#N/A</v>
      </c>
      <c r="M36" s="23" t="e">
        <f>0.001*(N36-P36)+0.00001*N36+0.00001*W25</f>
        <v>#N/A</v>
      </c>
      <c r="N36" s="24" t="e">
        <f>E36+H36</f>
        <v>#N/A</v>
      </c>
      <c r="O36" s="25" t="s">
        <v>0</v>
      </c>
      <c r="P36" s="26" t="e">
        <f>G36+J36</f>
        <v>#N/A</v>
      </c>
      <c r="Q36" s="27" t="e">
        <f>SUM(K36:M36)</f>
        <v>#N/A</v>
      </c>
      <c r="R36" s="242" t="e">
        <f>RANK(Q36,$Q$34:$Q$36)</f>
        <v>#N/A</v>
      </c>
      <c r="S36" s="243"/>
      <c r="T36" s="3" t="e">
        <f>R36&amp;"."</f>
        <v>#N/A</v>
      </c>
      <c r="U36" s="84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M36"/>
    </row>
    <row r="37" spans="6:19" ht="15.75" hidden="1">
      <c r="F37" s="95">
        <f>IF($X$26=7,F32,"")</f>
      </c>
      <c r="G37" s="95">
        <f>IF($X$26=7,G32,"")</f>
      </c>
      <c r="I37" s="95">
        <f>IF($X$26=7,I32,"")</f>
      </c>
      <c r="J37" s="95">
        <f>IF($X$26=7,J32,"")</f>
      </c>
      <c r="L37" s="95">
        <f>IF($X$26=7,L32,"")</f>
      </c>
      <c r="M37" s="95">
        <f>IF($X$26=7,M32,"")</f>
      </c>
      <c r="O37" s="95">
        <f>IF($X$26=7,O32,"")</f>
      </c>
      <c r="P37" s="95">
        <f>IF($X$26=7,P32,"")</f>
      </c>
      <c r="R37" s="95">
        <f>IF($X$26=7,R32,"")</f>
      </c>
      <c r="S37" s="95">
        <f>IF($X$26=7,S32,"")</f>
      </c>
    </row>
    <row r="38" spans="4:20" ht="15.75" customHeight="1" hidden="1">
      <c r="D38" s="95">
        <f>IF($X$26=7,B33,"")</f>
      </c>
      <c r="E38" s="271" t="e">
        <f>IF($X$26=7,E33,x)</f>
        <v>#NAME?</v>
      </c>
      <c r="F38" s="271"/>
      <c r="G38" s="271"/>
      <c r="H38" s="271" t="e">
        <f>IF($X$26=7,H33,x)</f>
        <v>#NAME?</v>
      </c>
      <c r="I38" s="271"/>
      <c r="J38" s="271"/>
      <c r="K38" s="271" t="e">
        <f>IF($X$26=7,K33,x)</f>
        <v>#NAME?</v>
      </c>
      <c r="L38" s="271"/>
      <c r="M38" s="271"/>
      <c r="N38" s="271" t="e">
        <f>IF($X$26=7,N33,x)</f>
        <v>#NAME?</v>
      </c>
      <c r="O38" s="271"/>
      <c r="P38" s="271"/>
      <c r="Q38" s="96">
        <f>IF($X$26=7,Q33,"")</f>
      </c>
      <c r="R38" s="271" t="e">
        <f>IF($X$26=7,R33,x)</f>
        <v>#NAME?</v>
      </c>
      <c r="S38" s="271"/>
      <c r="T38" s="95">
        <f>IF($X$26=7,$S$32,"")</f>
      </c>
    </row>
    <row r="39" spans="4:20" ht="15.75" customHeight="1" hidden="1">
      <c r="D39" s="95">
        <f>IF($X$26=7,B34,"")</f>
      </c>
      <c r="E39" s="97">
        <f aca="true" t="shared" si="0" ref="E39:P39">IF($X$26=7,E34,"")</f>
      </c>
      <c r="F39" s="96">
        <f t="shared" si="0"/>
      </c>
      <c r="G39" s="98">
        <f t="shared" si="0"/>
      </c>
      <c r="H39" s="97">
        <f t="shared" si="0"/>
      </c>
      <c r="I39" s="96">
        <f t="shared" si="0"/>
      </c>
      <c r="J39" s="98">
        <f t="shared" si="0"/>
      </c>
      <c r="K39" s="97">
        <f t="shared" si="0"/>
      </c>
      <c r="L39" s="96">
        <f t="shared" si="0"/>
      </c>
      <c r="M39" s="98">
        <f t="shared" si="0"/>
      </c>
      <c r="N39" s="97">
        <f t="shared" si="0"/>
      </c>
      <c r="O39" s="96">
        <f t="shared" si="0"/>
      </c>
      <c r="P39" s="98">
        <f t="shared" si="0"/>
      </c>
      <c r="Q39" s="96">
        <f>IF($X$26=7,Q34,"")</f>
      </c>
      <c r="R39" s="271" t="e">
        <f>IF($X$26=7,T34,x)</f>
        <v>#NAME?</v>
      </c>
      <c r="S39" s="271"/>
      <c r="T39" s="95">
        <f>IF($X$26=7,$S$32,"")</f>
      </c>
    </row>
    <row r="40" spans="4:20" ht="15.75" customHeight="1" hidden="1">
      <c r="D40" s="95">
        <f>IF($X$26=7,B35,"")</f>
      </c>
      <c r="E40" s="97">
        <f aca="true" t="shared" si="1" ref="E40:P40">IF($X$26=7,E35,"")</f>
      </c>
      <c r="F40" s="96">
        <f t="shared" si="1"/>
      </c>
      <c r="G40" s="98">
        <f t="shared" si="1"/>
      </c>
      <c r="H40" s="97">
        <f t="shared" si="1"/>
      </c>
      <c r="I40" s="96">
        <f t="shared" si="1"/>
      </c>
      <c r="J40" s="98">
        <f t="shared" si="1"/>
      </c>
      <c r="K40" s="97">
        <f t="shared" si="1"/>
      </c>
      <c r="L40" s="96">
        <f t="shared" si="1"/>
      </c>
      <c r="M40" s="98">
        <f t="shared" si="1"/>
      </c>
      <c r="N40" s="97">
        <f t="shared" si="1"/>
      </c>
      <c r="O40" s="96">
        <f t="shared" si="1"/>
      </c>
      <c r="P40" s="98">
        <f t="shared" si="1"/>
      </c>
      <c r="Q40" s="96">
        <f>IF($X$26=7,Q35,"")</f>
      </c>
      <c r="R40" s="271" t="e">
        <f>IF($X$26=7,T35,x)</f>
        <v>#NAME?</v>
      </c>
      <c r="S40" s="271"/>
      <c r="T40" s="95">
        <f>IF($X$26=7,$S$32,"")</f>
      </c>
    </row>
    <row r="41" spans="4:20" ht="15.75" customHeight="1" hidden="1">
      <c r="D41" s="95">
        <f>IF($X$26=7,B36,"")</f>
      </c>
      <c r="E41" s="97">
        <f aca="true" t="shared" si="2" ref="E41:P41">IF($X$26=7,E36,"")</f>
      </c>
      <c r="F41" s="96">
        <f t="shared" si="2"/>
      </c>
      <c r="G41" s="98">
        <f t="shared" si="2"/>
      </c>
      <c r="H41" s="97">
        <f t="shared" si="2"/>
      </c>
      <c r="I41" s="96">
        <f t="shared" si="2"/>
      </c>
      <c r="J41" s="98">
        <f t="shared" si="2"/>
      </c>
      <c r="K41" s="97">
        <f t="shared" si="2"/>
      </c>
      <c r="L41" s="96">
        <f t="shared" si="2"/>
      </c>
      <c r="M41" s="98">
        <f t="shared" si="2"/>
      </c>
      <c r="N41" s="97">
        <f t="shared" si="2"/>
      </c>
      <c r="O41" s="96">
        <f t="shared" si="2"/>
      </c>
      <c r="P41" s="98">
        <f t="shared" si="2"/>
      </c>
      <c r="Q41" s="96">
        <f>IF($X$26=7,Q36,"")</f>
      </c>
      <c r="R41" s="271" t="e">
        <f>IF($X$26=7,T36,x)</f>
        <v>#NAME?</v>
      </c>
      <c r="S41" s="271"/>
      <c r="T41" s="95">
        <f>IF($X$26=7,$S$32,"")</f>
      </c>
    </row>
    <row r="42" ht="15.75" hidden="1">
      <c r="S42" s="95">
        <f>IF($X$26=7,$S$32,"")</f>
      </c>
    </row>
    <row r="43" ht="19.5" customHeight="1" thickBot="1"/>
    <row r="44" spans="2:19" ht="30" customHeight="1">
      <c r="B44" s="195" t="s">
        <v>34</v>
      </c>
      <c r="C44" s="196"/>
      <c r="D44" s="197"/>
      <c r="E44" s="203">
        <f>H13</f>
      </c>
      <c r="F44" s="203"/>
      <c r="G44" s="203"/>
      <c r="H44" s="203">
        <f>K13</f>
      </c>
      <c r="I44" s="203"/>
      <c r="J44" s="203"/>
      <c r="K44" s="203">
        <f>K16</f>
      </c>
      <c r="L44" s="203"/>
      <c r="M44" s="203"/>
      <c r="N44" s="212" t="s">
        <v>1</v>
      </c>
      <c r="O44" s="212"/>
      <c r="P44" s="212"/>
      <c r="Q44" s="4" t="s">
        <v>2</v>
      </c>
      <c r="R44" s="244" t="s">
        <v>3</v>
      </c>
      <c r="S44" s="245"/>
    </row>
    <row r="45" spans="2:20" ht="30" customHeight="1">
      <c r="B45" s="198">
        <f>E44</f>
      </c>
      <c r="C45" s="199"/>
      <c r="D45" s="199"/>
      <c r="E45" s="7">
        <f>IF(H45&gt;J45,R5,IF(H45=J45,R6,R7))</f>
        <v>1</v>
      </c>
      <c r="F45" s="8">
        <f>IF(K45&gt;M45,R5,IF(K45=M45,R6,R7))</f>
        <v>1</v>
      </c>
      <c r="G45" s="9" t="e">
        <f>0.001*(N45-P45)+0.00001*N45</f>
        <v>#VALUE!</v>
      </c>
      <c r="H45" s="10">
        <f>IF(P13="","",N13)</f>
      </c>
      <c r="I45" s="11" t="s">
        <v>0</v>
      </c>
      <c r="J45" s="12">
        <f>IF(P13="","",P13)</f>
      </c>
      <c r="K45" s="10">
        <f>IF(P16="","",N16)</f>
      </c>
      <c r="L45" s="11" t="s">
        <v>0</v>
      </c>
      <c r="M45" s="12">
        <f>IF(P16="","",P16)</f>
      </c>
      <c r="N45" s="13">
        <f>IF(P19="","",H45+K45)</f>
      </c>
      <c r="O45" s="14" t="s">
        <v>0</v>
      </c>
      <c r="P45" s="15">
        <f>IF(P19="","",J45+M45)</f>
      </c>
      <c r="Q45" s="16">
        <f>IF(P45="","",SUM(E45:G45))</f>
      </c>
      <c r="R45" s="240">
        <f>IF(Q45="","",RANK(Q45,Q45:Q47)&amp;".")</f>
      </c>
      <c r="S45" s="241"/>
      <c r="T45" s="142" t="e">
        <f>RANK(Q45,$Q$45:$Q$47)</f>
        <v>#VALUE!</v>
      </c>
    </row>
    <row r="46" spans="2:20" ht="30" customHeight="1">
      <c r="B46" s="198">
        <f>H44</f>
      </c>
      <c r="C46" s="199"/>
      <c r="D46" s="199"/>
      <c r="E46" s="10">
        <f>J45</f>
      </c>
      <c r="F46" s="11" t="s">
        <v>0</v>
      </c>
      <c r="G46" s="12">
        <f>H45</f>
      </c>
      <c r="H46" s="7">
        <f>IF(E46&gt;G46,R5,IF(E46=G46,R6,R7))</f>
        <v>1</v>
      </c>
      <c r="I46" s="8">
        <f>IF(K46&gt;M46,R5,IF(K46=M46,R6,R7))</f>
        <v>1</v>
      </c>
      <c r="J46" s="9" t="e">
        <f>0.001*(N46-P46)+0.00001*N46</f>
        <v>#VALUE!</v>
      </c>
      <c r="K46" s="10">
        <f>IF(P19="","",N19)</f>
      </c>
      <c r="L46" s="11" t="s">
        <v>0</v>
      </c>
      <c r="M46" s="12">
        <f>IF(P19="","",P19)</f>
      </c>
      <c r="N46" s="13">
        <f>IF(P19="","",E46+K46)</f>
      </c>
      <c r="O46" s="14" t="s">
        <v>0</v>
      </c>
      <c r="P46" s="15">
        <f>IF(P19="","",G46+M46)</f>
      </c>
      <c r="Q46" s="16">
        <f>IF(P46="","",SUM(H46:J46))</f>
      </c>
      <c r="R46" s="240">
        <f>IF(Q46="","",RANK(Q46,Q45:Q47)&amp;".")</f>
      </c>
      <c r="S46" s="241"/>
      <c r="T46" s="142" t="e">
        <f>RANK(Q46,$Q$45:$Q$47)</f>
        <v>#VALUE!</v>
      </c>
    </row>
    <row r="47" spans="2:39" ht="30" customHeight="1" thickBot="1">
      <c r="B47" s="200">
        <f>K44</f>
      </c>
      <c r="C47" s="201"/>
      <c r="D47" s="202"/>
      <c r="E47" s="18">
        <f>M45</f>
      </c>
      <c r="F47" s="19" t="s">
        <v>0</v>
      </c>
      <c r="G47" s="20">
        <f>K45</f>
      </c>
      <c r="H47" s="18">
        <f>M46</f>
      </c>
      <c r="I47" s="19" t="s">
        <v>0</v>
      </c>
      <c r="J47" s="20">
        <f>K46</f>
      </c>
      <c r="K47" s="21">
        <f>IF(E47&gt;G47,R5,IF(E47=G47,R6,R7))</f>
        <v>1</v>
      </c>
      <c r="L47" s="22">
        <f>IF(H47&gt;J47,R5,IF(H47=J47,R6,R7))</f>
        <v>1</v>
      </c>
      <c r="M47" s="23" t="e">
        <f>0.001*(N47-P47)+0.00001*N47</f>
        <v>#VALUE!</v>
      </c>
      <c r="N47" s="24">
        <f>IF(P19="","",E47+H47)</f>
      </c>
      <c r="O47" s="25" t="s">
        <v>0</v>
      </c>
      <c r="P47" s="26">
        <f>IF(P19="","",G47+J47)</f>
      </c>
      <c r="Q47" s="27">
        <f>IF(P47="","",SUM(K47:M47))</f>
      </c>
      <c r="R47" s="268">
        <f>IF(Q47="","",RANK(Q47,Q45:Q47)&amp;".")</f>
      </c>
      <c r="S47" s="269"/>
      <c r="T47" s="142" t="e">
        <f>RANK(Q47,$Q$45:$Q$47)</f>
        <v>#VALUE!</v>
      </c>
      <c r="AM47" s="6"/>
    </row>
    <row r="48" ht="19.5" customHeight="1" thickBot="1">
      <c r="AM48" s="6"/>
    </row>
    <row r="49" spans="1:21" s="6" customFormat="1" ht="19.5" customHeight="1">
      <c r="A49" s="3"/>
      <c r="B49" s="3"/>
      <c r="C49" s="3"/>
      <c r="D49" s="29"/>
      <c r="E49" s="229" t="s">
        <v>157</v>
      </c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1"/>
      <c r="Q49" s="29"/>
      <c r="R49" s="29"/>
      <c r="S49" s="3"/>
      <c r="T49" s="3"/>
      <c r="U49" s="3"/>
    </row>
    <row r="50" spans="1:21" s="6" customFormat="1" ht="19.5" customHeight="1">
      <c r="A50" s="3"/>
      <c r="B50" s="3"/>
      <c r="C50" s="3"/>
      <c r="D50" s="47" t="e">
        <v>#REF!</v>
      </c>
      <c r="E50" s="99" t="s">
        <v>44</v>
      </c>
      <c r="F50" s="270" t="s">
        <v>154</v>
      </c>
      <c r="G50" s="218"/>
      <c r="H50" s="224">
        <f>IF(P19="","",IF(AH22=3,B22,IF(AH23=3,B23,IF(AH24=3,B24,B25))))</f>
      </c>
      <c r="I50" s="225"/>
      <c r="J50" s="226"/>
      <c r="K50" s="211">
        <f>IF(P19="","",IF(T45=3,B45,IF(T46=3,B46,B47)))</f>
      </c>
      <c r="L50" s="287"/>
      <c r="M50" s="288"/>
      <c r="N50" s="39"/>
      <c r="O50" s="14" t="s">
        <v>0</v>
      </c>
      <c r="P50" s="31"/>
      <c r="Q50" s="32"/>
      <c r="R50" s="32"/>
      <c r="S50" s="3"/>
      <c r="T50" s="3"/>
      <c r="U50" s="3"/>
    </row>
    <row r="51" spans="1:21" s="6" customFormat="1" ht="19.5" customHeight="1">
      <c r="A51" s="3"/>
      <c r="B51" s="3"/>
      <c r="C51" s="3"/>
      <c r="D51" s="47" t="e">
        <v>#REF!</v>
      </c>
      <c r="E51" s="99" t="s">
        <v>45</v>
      </c>
      <c r="F51" s="270" t="s">
        <v>150</v>
      </c>
      <c r="G51" s="218"/>
      <c r="H51" s="224">
        <f>IF(P19="","",IF(AH22=1,B22,IF(AH23=1,B23,IF(AH23=1,B24,B25))))</f>
      </c>
      <c r="I51" s="225"/>
      <c r="J51" s="226"/>
      <c r="K51" s="211">
        <f>IF(P19="","",IF(T45=2,B45,IF(T46=2,B46,B47)))</f>
      </c>
      <c r="L51" s="287"/>
      <c r="M51" s="288"/>
      <c r="N51" s="39"/>
      <c r="O51" s="14" t="s">
        <v>0</v>
      </c>
      <c r="P51" s="31"/>
      <c r="Q51" s="32"/>
      <c r="R51" s="32"/>
      <c r="S51" s="3"/>
      <c r="T51" s="3"/>
      <c r="U51" s="3"/>
    </row>
    <row r="52" spans="1:39" s="6" customFormat="1" ht="19.5" customHeight="1">
      <c r="A52" s="3"/>
      <c r="B52" s="3"/>
      <c r="C52" s="3"/>
      <c r="D52" s="47" t="e">
        <v>#REF!</v>
      </c>
      <c r="E52" s="99" t="s">
        <v>83</v>
      </c>
      <c r="F52" s="270" t="s">
        <v>155</v>
      </c>
      <c r="G52" s="218"/>
      <c r="H52" s="224">
        <f>IF(P19="","",IF(AH22=4,B22,IF(AH23=4,B23,IF(AH24=4,B24,B25))))</f>
      </c>
      <c r="I52" s="225"/>
      <c r="J52" s="226"/>
      <c r="K52" s="211">
        <f>K50</f>
      </c>
      <c r="L52" s="287"/>
      <c r="M52" s="288"/>
      <c r="N52" s="39"/>
      <c r="O52" s="14" t="s">
        <v>0</v>
      </c>
      <c r="P52" s="31"/>
      <c r="Q52" s="32"/>
      <c r="R52" s="32"/>
      <c r="S52" s="3"/>
      <c r="T52" s="3"/>
      <c r="AM52"/>
    </row>
    <row r="53" spans="1:39" s="6" customFormat="1" ht="19.5" customHeight="1">
      <c r="A53" s="3"/>
      <c r="B53" s="3"/>
      <c r="C53" s="3"/>
      <c r="D53" s="47" t="e">
        <v>#REF!</v>
      </c>
      <c r="E53" s="100" t="s">
        <v>84</v>
      </c>
      <c r="F53" s="270" t="s">
        <v>151</v>
      </c>
      <c r="G53" s="218"/>
      <c r="H53" s="224">
        <f>IF(P19="","",IF(AH22=2,B22,IF(AH23=2,B23,IF(AH23=2,B24,B25))))</f>
      </c>
      <c r="I53" s="225"/>
      <c r="J53" s="226"/>
      <c r="K53" s="211">
        <f>IF(P19="","",IF(T45=1,B45,IF(T46=1,B46,B47)))</f>
      </c>
      <c r="L53" s="287"/>
      <c r="M53" s="288"/>
      <c r="N53" s="39"/>
      <c r="O53" s="14" t="s">
        <v>0</v>
      </c>
      <c r="P53" s="31"/>
      <c r="Q53" s="32"/>
      <c r="R53" s="32"/>
      <c r="S53" s="3"/>
      <c r="T53" s="3"/>
      <c r="U53" s="3"/>
      <c r="AM53"/>
    </row>
    <row r="54" spans="1:39" s="6" customFormat="1" ht="19.5" customHeight="1">
      <c r="A54" s="3"/>
      <c r="B54" s="3"/>
      <c r="C54" s="3"/>
      <c r="D54" s="47"/>
      <c r="E54" s="100" t="s">
        <v>85</v>
      </c>
      <c r="F54" s="270" t="s">
        <v>156</v>
      </c>
      <c r="G54" s="218"/>
      <c r="H54" s="224">
        <f>H50</f>
      </c>
      <c r="I54" s="225"/>
      <c r="J54" s="226"/>
      <c r="K54" s="211">
        <f>H52</f>
      </c>
      <c r="L54" s="287"/>
      <c r="M54" s="288"/>
      <c r="N54" s="39"/>
      <c r="O54" s="14" t="s">
        <v>0</v>
      </c>
      <c r="P54" s="31"/>
      <c r="Q54" s="32"/>
      <c r="R54" s="32"/>
      <c r="S54" s="3"/>
      <c r="T54" s="3"/>
      <c r="AM54"/>
    </row>
    <row r="55" spans="1:39" s="6" customFormat="1" ht="19.5" customHeight="1">
      <c r="A55" s="3"/>
      <c r="B55" s="3"/>
      <c r="C55" s="3"/>
      <c r="D55" s="47"/>
      <c r="E55" s="100" t="s">
        <v>86</v>
      </c>
      <c r="F55" s="219" t="s">
        <v>43</v>
      </c>
      <c r="G55" s="219"/>
      <c r="H55" s="209">
        <f>IF(P53="","",IF(N51&lt;P51,H51,K51))</f>
      </c>
      <c r="I55" s="209"/>
      <c r="J55" s="209"/>
      <c r="K55" s="210">
        <f>IF(P53="","",IF(N53&lt;P53,H53,K53))</f>
      </c>
      <c r="L55" s="210"/>
      <c r="M55" s="210"/>
      <c r="N55" s="39"/>
      <c r="O55" s="14" t="s">
        <v>0</v>
      </c>
      <c r="P55" s="31"/>
      <c r="Q55" s="32"/>
      <c r="R55" s="32"/>
      <c r="S55" s="3"/>
      <c r="T55" s="3"/>
      <c r="U55" s="3"/>
      <c r="AM55"/>
    </row>
    <row r="56" spans="1:39" s="6" customFormat="1" ht="19.5" customHeight="1" thickBot="1">
      <c r="A56" s="3"/>
      <c r="B56" s="3"/>
      <c r="C56" s="3"/>
      <c r="D56" s="47"/>
      <c r="E56" s="176" t="s">
        <v>153</v>
      </c>
      <c r="F56" s="217" t="s">
        <v>46</v>
      </c>
      <c r="G56" s="217"/>
      <c r="H56" s="235">
        <f>IF(P53="","",IF(N51&gt;P51,H51,K51))</f>
      </c>
      <c r="I56" s="235"/>
      <c r="J56" s="235"/>
      <c r="K56" s="248">
        <f>IF(P53="","",IF(N53&gt;P53,H53,K53))</f>
      </c>
      <c r="L56" s="248"/>
      <c r="M56" s="248"/>
      <c r="N56" s="50"/>
      <c r="O56" s="43" t="s">
        <v>0</v>
      </c>
      <c r="P56" s="44"/>
      <c r="Q56" s="32"/>
      <c r="R56" s="32"/>
      <c r="S56" s="3"/>
      <c r="T56" s="3"/>
      <c r="U56" s="3"/>
      <c r="AM56"/>
    </row>
    <row r="57" spans="2:34" ht="19.5" customHeight="1" thickBot="1">
      <c r="B57" s="3"/>
      <c r="C57" s="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U57" s="1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2:19" ht="30" customHeight="1">
      <c r="B58" s="195" t="s">
        <v>152</v>
      </c>
      <c r="C58" s="196"/>
      <c r="D58" s="197"/>
      <c r="E58" s="203">
        <f>H50</f>
      </c>
      <c r="F58" s="203"/>
      <c r="G58" s="203"/>
      <c r="H58" s="203">
        <f>H52</f>
      </c>
      <c r="I58" s="203"/>
      <c r="J58" s="203"/>
      <c r="K58" s="203">
        <f>K50</f>
      </c>
      <c r="L58" s="203"/>
      <c r="M58" s="203"/>
      <c r="N58" s="212" t="s">
        <v>1</v>
      </c>
      <c r="O58" s="212"/>
      <c r="P58" s="212"/>
      <c r="Q58" s="4" t="s">
        <v>2</v>
      </c>
      <c r="R58" s="244" t="s">
        <v>3</v>
      </c>
      <c r="S58" s="245"/>
    </row>
    <row r="59" spans="2:20" ht="30" customHeight="1">
      <c r="B59" s="198">
        <f>E58</f>
      </c>
      <c r="C59" s="199"/>
      <c r="D59" s="199"/>
      <c r="E59" s="7">
        <f>IF(H59&gt;J59,R5,IF(H59=J59,R6,R7))</f>
        <v>1</v>
      </c>
      <c r="F59" s="8">
        <f>IF(K59&gt;M59,R5,IF(K59=M59,R6,R7))</f>
        <v>1</v>
      </c>
      <c r="G59" s="9" t="e">
        <f>0.001*(N59-P59)+0.00001*N59</f>
        <v>#VALUE!</v>
      </c>
      <c r="H59" s="10">
        <f>IF(P54="","",N54)</f>
      </c>
      <c r="I59" s="11" t="s">
        <v>0</v>
      </c>
      <c r="J59" s="12">
        <f>IF(P54="","",P54)</f>
      </c>
      <c r="K59" s="10">
        <f>IF(P54="","",N50)</f>
      </c>
      <c r="L59" s="11" t="s">
        <v>0</v>
      </c>
      <c r="M59" s="12">
        <f>IF(P54="","",P50)</f>
      </c>
      <c r="N59" s="13">
        <f>IF(P54="","",H59+K59)</f>
      </c>
      <c r="O59" s="14" t="s">
        <v>0</v>
      </c>
      <c r="P59" s="15">
        <f>IF(P54="","",J59+M59)</f>
      </c>
      <c r="Q59" s="16">
        <f>IF(P54="","",SUM(E59:G59))</f>
      </c>
      <c r="R59" s="240">
        <f>IF(Q59="","",RANK(Q59,Q59:Q61)&amp;".")</f>
      </c>
      <c r="S59" s="241"/>
      <c r="T59" s="142" t="e">
        <f>RANK(Q59,$Q$59:$Q$61)</f>
        <v>#VALUE!</v>
      </c>
    </row>
    <row r="60" spans="2:20" ht="30" customHeight="1">
      <c r="B60" s="198">
        <f>H58</f>
      </c>
      <c r="C60" s="199"/>
      <c r="D60" s="199"/>
      <c r="E60" s="10">
        <f>J59</f>
      </c>
      <c r="F60" s="11" t="s">
        <v>0</v>
      </c>
      <c r="G60" s="12">
        <f>H59</f>
      </c>
      <c r="H60" s="7">
        <f>IF(E60&gt;G60,R5,IF(E60=G60,R6,R7))</f>
        <v>1</v>
      </c>
      <c r="I60" s="8">
        <f>IF(K60&gt;M60,R5,IF(K60=M60,R6,R7))</f>
        <v>1</v>
      </c>
      <c r="J60" s="9" t="e">
        <f>0.001*(N60-P60)+0.00001*N60</f>
        <v>#VALUE!</v>
      </c>
      <c r="K60" s="10">
        <f>IF(P54="","",N52)</f>
      </c>
      <c r="L60" s="11" t="s">
        <v>0</v>
      </c>
      <c r="M60" s="12">
        <f>IF(P54="","",P52)</f>
      </c>
      <c r="N60" s="13">
        <f>IF(P54="","",E60+K60)</f>
      </c>
      <c r="O60" s="14" t="s">
        <v>0</v>
      </c>
      <c r="P60" s="15">
        <f>IF(P54="","",G60+M60)</f>
      </c>
      <c r="Q60" s="16">
        <f>IF(P60="","",SUM(H60:J60))</f>
      </c>
      <c r="R60" s="240">
        <f>IF(Q60="","",RANK(Q60,Q59:Q61)&amp;".")</f>
      </c>
      <c r="S60" s="241"/>
      <c r="T60" s="142" t="e">
        <f>RANK(Q60,$Q$59:$Q$61)</f>
        <v>#VALUE!</v>
      </c>
    </row>
    <row r="61" spans="2:39" ht="30" customHeight="1" thickBot="1">
      <c r="B61" s="200">
        <f>K58</f>
      </c>
      <c r="C61" s="201"/>
      <c r="D61" s="202"/>
      <c r="E61" s="18">
        <f>M59</f>
      </c>
      <c r="F61" s="19" t="s">
        <v>0</v>
      </c>
      <c r="G61" s="20">
        <f>K59</f>
      </c>
      <c r="H61" s="18">
        <f>M60</f>
      </c>
      <c r="I61" s="19" t="s">
        <v>0</v>
      </c>
      <c r="J61" s="20">
        <f>K60</f>
      </c>
      <c r="K61" s="21">
        <f>IF(E61&gt;G61,R5,IF(E61=G61,R6,R7))</f>
        <v>1</v>
      </c>
      <c r="L61" s="22">
        <f>IF(H61&gt;J61,R5,IF(H61=J61,R6,R7))</f>
        <v>1</v>
      </c>
      <c r="M61" s="23" t="e">
        <f>0.001*(N61-P61)+0.00001*N61</f>
        <v>#VALUE!</v>
      </c>
      <c r="N61" s="24">
        <f>IF(P54="","",E61+H61)</f>
      </c>
      <c r="O61" s="25" t="s">
        <v>0</v>
      </c>
      <c r="P61" s="26">
        <f>IF(P54="","",G61+J61)</f>
      </c>
      <c r="Q61" s="27">
        <f>IF(P61="","",SUM(K61:M61))</f>
      </c>
      <c r="R61" s="268">
        <f>IF(Q61="","",RANK(Q61,Q59:Q61)&amp;".")</f>
      </c>
      <c r="S61" s="269"/>
      <c r="T61" s="142" t="e">
        <f>RANK(Q61,$Q$59:$Q$61)</f>
        <v>#VALUE!</v>
      </c>
      <c r="AM61" s="6"/>
    </row>
    <row r="62" spans="2:34" ht="19.5" customHeight="1" thickBot="1">
      <c r="B62" s="3"/>
      <c r="C62" s="3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U62" s="1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2:34" ht="19.5" customHeight="1">
      <c r="B63" s="3"/>
      <c r="C63" s="3"/>
      <c r="D63" s="29"/>
      <c r="E63" s="29"/>
      <c r="F63" s="29"/>
      <c r="G63" s="227" t="s">
        <v>112</v>
      </c>
      <c r="H63" s="212"/>
      <c r="I63" s="212"/>
      <c r="J63" s="228"/>
      <c r="K63" s="29"/>
      <c r="L63" s="29"/>
      <c r="M63" s="29"/>
      <c r="N63" s="29"/>
      <c r="O63" s="29"/>
      <c r="P63" s="29"/>
      <c r="Q63" s="29"/>
      <c r="R63" s="29"/>
      <c r="U63" s="1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2:34" ht="19.5" customHeight="1">
      <c r="B64" s="3"/>
      <c r="C64" s="3"/>
      <c r="D64" s="29"/>
      <c r="E64" s="29"/>
      <c r="F64" s="29"/>
      <c r="G64" s="99" t="s">
        <v>27</v>
      </c>
      <c r="H64" s="210">
        <f>IF(P56="","",IF(N56&gt;P56,H56,K56))</f>
      </c>
      <c r="I64" s="210"/>
      <c r="J64" s="263"/>
      <c r="K64" s="29"/>
      <c r="L64" s="29"/>
      <c r="M64" s="29"/>
      <c r="N64" s="29"/>
      <c r="O64" s="29"/>
      <c r="P64" s="29"/>
      <c r="Q64" s="29"/>
      <c r="R64" s="29"/>
      <c r="U64" s="1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2:34" ht="19.5" customHeight="1">
      <c r="B65" s="3"/>
      <c r="C65" s="3"/>
      <c r="D65" s="29"/>
      <c r="E65" s="29"/>
      <c r="F65" s="29"/>
      <c r="G65" s="99" t="s">
        <v>28</v>
      </c>
      <c r="H65" s="210">
        <f>IF(P56="","",IF(N56&lt;P56,H56,K56))</f>
      </c>
      <c r="I65" s="210"/>
      <c r="J65" s="263"/>
      <c r="K65" s="29"/>
      <c r="L65" s="29"/>
      <c r="M65" s="29"/>
      <c r="N65" s="29"/>
      <c r="O65" s="29"/>
      <c r="P65" s="29"/>
      <c r="Q65" s="29"/>
      <c r="R65" s="29"/>
      <c r="U65" s="1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2:34" ht="19.5" customHeight="1">
      <c r="B66" s="3"/>
      <c r="C66" s="3"/>
      <c r="D66" s="29"/>
      <c r="E66" s="29"/>
      <c r="F66" s="29"/>
      <c r="G66" s="99" t="s">
        <v>29</v>
      </c>
      <c r="H66" s="210">
        <f>IF(P56="","",IF(N55&gt;P55,H55,K55))</f>
      </c>
      <c r="I66" s="210"/>
      <c r="J66" s="263"/>
      <c r="K66" s="29"/>
      <c r="L66" s="29"/>
      <c r="M66" s="29"/>
      <c r="N66" s="29"/>
      <c r="O66" s="29"/>
      <c r="P66" s="29"/>
      <c r="Q66" s="29"/>
      <c r="R66" s="29"/>
      <c r="U66" s="1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2:34" ht="19.5" customHeight="1">
      <c r="B67" s="3"/>
      <c r="C67" s="3"/>
      <c r="D67" s="29"/>
      <c r="E67" s="29"/>
      <c r="F67" s="29"/>
      <c r="G67" s="99" t="s">
        <v>31</v>
      </c>
      <c r="H67" s="210">
        <f>IF(P56="","",IF(N55&lt;P55,H55,K55))</f>
      </c>
      <c r="I67" s="210"/>
      <c r="J67" s="263"/>
      <c r="K67" s="29"/>
      <c r="L67" s="29"/>
      <c r="M67" s="29"/>
      <c r="N67" s="29"/>
      <c r="O67" s="29"/>
      <c r="P67" s="29"/>
      <c r="Q67" s="29"/>
      <c r="R67" s="29"/>
      <c r="U67" s="1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2:34" ht="19.5" customHeight="1">
      <c r="B68" s="3"/>
      <c r="C68" s="3"/>
      <c r="D68" s="29"/>
      <c r="E68" s="29"/>
      <c r="F68" s="29"/>
      <c r="G68" s="99" t="s">
        <v>32</v>
      </c>
      <c r="H68" s="210">
        <f>IF(P54="","",IF(T59=1,B59,IF(T60=1,B60,B61)))</f>
      </c>
      <c r="I68" s="210"/>
      <c r="J68" s="263"/>
      <c r="K68" s="29"/>
      <c r="L68" s="29"/>
      <c r="M68" s="29"/>
      <c r="N68" s="29"/>
      <c r="O68" s="29"/>
      <c r="P68" s="29"/>
      <c r="Q68" s="29"/>
      <c r="R68" s="29"/>
      <c r="U68" s="1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2:34" ht="19.5" customHeight="1">
      <c r="B69" s="3"/>
      <c r="C69" s="3"/>
      <c r="D69" s="29"/>
      <c r="E69" s="29"/>
      <c r="F69" s="29"/>
      <c r="G69" s="99" t="s">
        <v>33</v>
      </c>
      <c r="H69" s="210">
        <f>IF(P54="","",IF(T59=2,B59,IF(T60=2,B60,B61)))</f>
      </c>
      <c r="I69" s="210"/>
      <c r="J69" s="263"/>
      <c r="K69" s="29"/>
      <c r="L69" s="29"/>
      <c r="M69" s="29"/>
      <c r="N69" s="29"/>
      <c r="O69" s="29"/>
      <c r="P69" s="29"/>
      <c r="Q69" s="29"/>
      <c r="R69" s="29"/>
      <c r="U69" s="1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2:34" ht="19.5" customHeight="1" thickBot="1">
      <c r="B70" s="3"/>
      <c r="C70" s="3"/>
      <c r="D70" s="29"/>
      <c r="E70" s="29"/>
      <c r="F70" s="29"/>
      <c r="G70" s="102" t="s">
        <v>37</v>
      </c>
      <c r="H70" s="213">
        <f>IF(P54="","",IF(T59=3,B59,IF(T60=3,B60,B61)))</f>
      </c>
      <c r="I70" s="213"/>
      <c r="J70" s="264"/>
      <c r="K70" s="29"/>
      <c r="L70" s="29"/>
      <c r="M70" s="29"/>
      <c r="N70" s="29"/>
      <c r="O70" s="29"/>
      <c r="P70" s="29"/>
      <c r="Q70" s="29"/>
      <c r="R70" s="29"/>
      <c r="U70" s="1"/>
      <c r="V70"/>
      <c r="W70"/>
      <c r="X70"/>
      <c r="Y70"/>
      <c r="Z70"/>
      <c r="AA70"/>
      <c r="AB70"/>
      <c r="AC70"/>
      <c r="AD70"/>
      <c r="AE70"/>
      <c r="AF70"/>
      <c r="AG70"/>
      <c r="AH70"/>
    </row>
  </sheetData>
  <sheetProtection sheet="1" objects="1" scenarios="1"/>
  <mergeCells count="130">
    <mergeCell ref="F54:G54"/>
    <mergeCell ref="H54:J54"/>
    <mergeCell ref="K54:M54"/>
    <mergeCell ref="F50:G50"/>
    <mergeCell ref="H50:J50"/>
    <mergeCell ref="K50:M50"/>
    <mergeCell ref="F52:G52"/>
    <mergeCell ref="H52:J52"/>
    <mergeCell ref="K52:M52"/>
    <mergeCell ref="F51:G51"/>
    <mergeCell ref="B60:D60"/>
    <mergeCell ref="R60:S60"/>
    <mergeCell ref="B61:D61"/>
    <mergeCell ref="R61:S61"/>
    <mergeCell ref="N58:P58"/>
    <mergeCell ref="R58:S58"/>
    <mergeCell ref="B59:D59"/>
    <mergeCell ref="R59:S59"/>
    <mergeCell ref="H51:J51"/>
    <mergeCell ref="K51:M51"/>
    <mergeCell ref="B58:D58"/>
    <mergeCell ref="E58:G58"/>
    <mergeCell ref="H58:J58"/>
    <mergeCell ref="K58:M58"/>
    <mergeCell ref="F55:G55"/>
    <mergeCell ref="H55:J55"/>
    <mergeCell ref="K55:M55"/>
    <mergeCell ref="F56:G56"/>
    <mergeCell ref="N44:P44"/>
    <mergeCell ref="B45:D45"/>
    <mergeCell ref="R44:S44"/>
    <mergeCell ref="R45:S45"/>
    <mergeCell ref="R46:S46"/>
    <mergeCell ref="R47:S47"/>
    <mergeCell ref="B46:D46"/>
    <mergeCell ref="B47:D47"/>
    <mergeCell ref="E44:G44"/>
    <mergeCell ref="F18:G18"/>
    <mergeCell ref="F16:G16"/>
    <mergeCell ref="K16:M16"/>
    <mergeCell ref="K19:M19"/>
    <mergeCell ref="R41:S41"/>
    <mergeCell ref="K38:M38"/>
    <mergeCell ref="N38:P38"/>
    <mergeCell ref="R39:S39"/>
    <mergeCell ref="H16:J16"/>
    <mergeCell ref="H19:J19"/>
    <mergeCell ref="E38:G38"/>
    <mergeCell ref="H38:J38"/>
    <mergeCell ref="B36:D36"/>
    <mergeCell ref="B33:D33"/>
    <mergeCell ref="B34:D34"/>
    <mergeCell ref="R40:S40"/>
    <mergeCell ref="R38:S38"/>
    <mergeCell ref="R36:S36"/>
    <mergeCell ref="B35:D35"/>
    <mergeCell ref="D1:R1"/>
    <mergeCell ref="F14:G14"/>
    <mergeCell ref="F12:G12"/>
    <mergeCell ref="F11:G11"/>
    <mergeCell ref="K14:M14"/>
    <mergeCell ref="K12:M12"/>
    <mergeCell ref="O7:Q7"/>
    <mergeCell ref="F13:G13"/>
    <mergeCell ref="H11:J11"/>
    <mergeCell ref="D4:G4"/>
    <mergeCell ref="N21:P21"/>
    <mergeCell ref="K21:M21"/>
    <mergeCell ref="K13:M13"/>
    <mergeCell ref="K11:M11"/>
    <mergeCell ref="Q21:S21"/>
    <mergeCell ref="R35:S35"/>
    <mergeCell ref="K33:M33"/>
    <mergeCell ref="N33:P33"/>
    <mergeCell ref="R33:S33"/>
    <mergeCell ref="R34:S34"/>
    <mergeCell ref="G63:J63"/>
    <mergeCell ref="B21:D21"/>
    <mergeCell ref="B22:D22"/>
    <mergeCell ref="B23:D23"/>
    <mergeCell ref="B24:D24"/>
    <mergeCell ref="E21:G21"/>
    <mergeCell ref="H21:J21"/>
    <mergeCell ref="E33:G33"/>
    <mergeCell ref="B44:D44"/>
    <mergeCell ref="H44:J44"/>
    <mergeCell ref="J4:M4"/>
    <mergeCell ref="E10:P10"/>
    <mergeCell ref="E5:G5"/>
    <mergeCell ref="E6:G6"/>
    <mergeCell ref="E7:G7"/>
    <mergeCell ref="K5:M5"/>
    <mergeCell ref="K7:M7"/>
    <mergeCell ref="O5:Q5"/>
    <mergeCell ref="O6:Q6"/>
    <mergeCell ref="H14:J14"/>
    <mergeCell ref="F15:G15"/>
    <mergeCell ref="F17:G17"/>
    <mergeCell ref="H17:J17"/>
    <mergeCell ref="H15:J15"/>
    <mergeCell ref="K56:M56"/>
    <mergeCell ref="K6:M6"/>
    <mergeCell ref="F53:G53"/>
    <mergeCell ref="H53:J53"/>
    <mergeCell ref="K53:M53"/>
    <mergeCell ref="H33:J33"/>
    <mergeCell ref="K18:M18"/>
    <mergeCell ref="E8:G8"/>
    <mergeCell ref="K44:M44"/>
    <mergeCell ref="E49:P49"/>
    <mergeCell ref="B25:D25"/>
    <mergeCell ref="H12:J12"/>
    <mergeCell ref="K17:M17"/>
    <mergeCell ref="F19:G19"/>
    <mergeCell ref="H13:J13"/>
    <mergeCell ref="B2:U2"/>
    <mergeCell ref="R5:S5"/>
    <mergeCell ref="R6:S6"/>
    <mergeCell ref="R7:S7"/>
    <mergeCell ref="O4:S4"/>
    <mergeCell ref="H68:J68"/>
    <mergeCell ref="H69:J69"/>
    <mergeCell ref="H70:J70"/>
    <mergeCell ref="K15:M15"/>
    <mergeCell ref="H18:J18"/>
    <mergeCell ref="H64:J64"/>
    <mergeCell ref="H65:J65"/>
    <mergeCell ref="H66:J66"/>
    <mergeCell ref="H67:J67"/>
    <mergeCell ref="H56:J56"/>
  </mergeCells>
  <conditionalFormatting sqref="Q39:Q41">
    <cfRule type="cellIs" priority="1" dxfId="81" operator="equal" stopIfTrue="1">
      <formula>Q34</formula>
    </cfRule>
  </conditionalFormatting>
  <conditionalFormatting sqref="E38:S38">
    <cfRule type="cellIs" priority="2" dxfId="82" operator="equal" stopIfTrue="1">
      <formula>E33</formula>
    </cfRule>
  </conditionalFormatting>
  <conditionalFormatting sqref="E39 H40 K41">
    <cfRule type="cellIs" priority="3" dxfId="83" operator="equal" stopIfTrue="1">
      <formula>E34</formula>
    </cfRule>
  </conditionalFormatting>
  <conditionalFormatting sqref="F39 I40 L41">
    <cfRule type="cellIs" priority="4" dxfId="84" operator="equal" stopIfTrue="1">
      <formula>F34</formula>
    </cfRule>
  </conditionalFormatting>
  <conditionalFormatting sqref="G39 J40 M41">
    <cfRule type="cellIs" priority="5" dxfId="85" operator="equal" stopIfTrue="1">
      <formula>G34</formula>
    </cfRule>
  </conditionalFormatting>
  <conditionalFormatting sqref="H39 H41 E40:E41 K39:K40">
    <cfRule type="cellIs" priority="6" dxfId="86" operator="equal" stopIfTrue="1">
      <formula>E34</formula>
    </cfRule>
  </conditionalFormatting>
  <conditionalFormatting sqref="I39 F40:F41 I41 L39:L40">
    <cfRule type="cellIs" priority="7" dxfId="87" operator="equal" stopIfTrue="1">
      <formula>F34</formula>
    </cfRule>
  </conditionalFormatting>
  <conditionalFormatting sqref="G40:G41 J41 J39 M39:M40">
    <cfRule type="cellIs" priority="8" dxfId="88" operator="equal" stopIfTrue="1">
      <formula>G34</formula>
    </cfRule>
  </conditionalFormatting>
  <conditionalFormatting sqref="F37:G37 I37:J37 L37:M37 O37:P37 R37:S37">
    <cfRule type="cellIs" priority="9" dxfId="89" operator="equal" stopIfTrue="1">
      <formula>F32</formula>
    </cfRule>
  </conditionalFormatting>
  <conditionalFormatting sqref="R39:S41">
    <cfRule type="cellIs" priority="10" dxfId="81" operator="equal" stopIfTrue="1">
      <formula>T34</formula>
    </cfRule>
  </conditionalFormatting>
  <conditionalFormatting sqref="N39:N41">
    <cfRule type="cellIs" priority="11" dxfId="90" operator="equal" stopIfTrue="1">
      <formula>N34</formula>
    </cfRule>
  </conditionalFormatting>
  <conditionalFormatting sqref="O39:O41">
    <cfRule type="cellIs" priority="12" dxfId="91" operator="equal" stopIfTrue="1">
      <formula>O34</formula>
    </cfRule>
  </conditionalFormatting>
  <conditionalFormatting sqref="P39:P41">
    <cfRule type="cellIs" priority="13" dxfId="92" operator="equal" stopIfTrue="1">
      <formula>P34</formula>
    </cfRule>
  </conditionalFormatting>
  <conditionalFormatting sqref="D38">
    <cfRule type="cellIs" priority="14" dxfId="81" operator="equal" stopIfTrue="1">
      <formula>B33</formula>
    </cfRule>
  </conditionalFormatting>
  <conditionalFormatting sqref="D41">
    <cfRule type="cellIs" priority="15" dxfId="82" operator="equal" stopIfTrue="1">
      <formula>$B36</formula>
    </cfRule>
  </conditionalFormatting>
  <conditionalFormatting sqref="D39">
    <cfRule type="cellIs" priority="16" dxfId="82" operator="equal" stopIfTrue="1">
      <formula>$B$34</formula>
    </cfRule>
  </conditionalFormatting>
  <conditionalFormatting sqref="D40">
    <cfRule type="cellIs" priority="17" dxfId="82" operator="equal" stopIfTrue="1">
      <formula>$B$35</formula>
    </cfRule>
  </conditionalFormatting>
  <conditionalFormatting sqref="T38:T41">
    <cfRule type="cellIs" priority="18" dxfId="93" operator="equal" stopIfTrue="1">
      <formula>$S$32</formula>
    </cfRule>
  </conditionalFormatting>
  <conditionalFormatting sqref="S42">
    <cfRule type="cellIs" priority="19" dxfId="80" operator="equal" stopIfTrue="1">
      <formula>$S$32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H80"/>
  <sheetViews>
    <sheetView showGridLines="0" zoomScalePageLayoutView="0" workbookViewId="0" topLeftCell="A1">
      <selection activeCell="AL43" sqref="AL43"/>
    </sheetView>
  </sheetViews>
  <sheetFormatPr defaultColWidth="9.140625" defaultRowHeight="12.75"/>
  <cols>
    <col min="1" max="1" width="0.85546875" style="1" customWidth="1"/>
    <col min="2" max="2" width="6.7109375" style="1" customWidth="1"/>
    <col min="3" max="3" width="1.7109375" style="1" customWidth="1"/>
    <col min="4" max="5" width="6.7109375" style="2" customWidth="1"/>
    <col min="6" max="6" width="1.7109375" style="2" customWidth="1"/>
    <col min="7" max="8" width="6.7109375" style="2" customWidth="1"/>
    <col min="9" max="9" width="1.7109375" style="2" customWidth="1"/>
    <col min="10" max="11" width="6.7109375" style="2" customWidth="1"/>
    <col min="12" max="12" width="1.7109375" style="2" customWidth="1"/>
    <col min="13" max="14" width="6.7109375" style="2" customWidth="1"/>
    <col min="15" max="15" width="1.7109375" style="2" customWidth="1"/>
    <col min="16" max="16" width="6.7109375" style="2" customWidth="1"/>
    <col min="17" max="17" width="4.7109375" style="2" customWidth="1"/>
    <col min="18" max="18" width="1.7109375" style="2" customWidth="1"/>
    <col min="19" max="19" width="4.7109375" style="1" customWidth="1"/>
    <col min="20" max="20" width="6.7109375" style="1" customWidth="1"/>
    <col min="21" max="21" width="6.7109375" style="83" customWidth="1"/>
    <col min="22" max="34" width="2.7109375" style="77" hidden="1" customWidth="1"/>
  </cols>
  <sheetData>
    <row r="1" spans="4:18" ht="33.75">
      <c r="D1" s="215" t="s">
        <v>133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2:21" ht="15.75">
      <c r="B2" s="279" t="s">
        <v>122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ht="15.75" customHeight="1" thickBot="1"/>
    <row r="4" spans="1:34" s="6" customFormat="1" ht="19.5" customHeight="1">
      <c r="A4" s="3"/>
      <c r="B4" s="3"/>
      <c r="C4" s="3"/>
      <c r="D4" s="229" t="s">
        <v>4</v>
      </c>
      <c r="E4" s="230"/>
      <c r="F4" s="230"/>
      <c r="G4" s="231"/>
      <c r="H4" s="3"/>
      <c r="I4" s="3"/>
      <c r="J4" s="229" t="s">
        <v>4</v>
      </c>
      <c r="K4" s="230"/>
      <c r="L4" s="230"/>
      <c r="M4" s="231"/>
      <c r="N4" s="3"/>
      <c r="O4" s="227" t="s">
        <v>5</v>
      </c>
      <c r="P4" s="212"/>
      <c r="Q4" s="212"/>
      <c r="R4" s="212"/>
      <c r="S4" s="228"/>
      <c r="T4" s="3"/>
      <c r="U4" s="3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6" customFormat="1" ht="19.5" customHeight="1">
      <c r="A5" s="3"/>
      <c r="B5" s="3"/>
      <c r="C5" s="3"/>
      <c r="D5" s="125" t="s">
        <v>15</v>
      </c>
      <c r="E5" s="222"/>
      <c r="F5" s="222"/>
      <c r="G5" s="223"/>
      <c r="H5" s="3"/>
      <c r="I5" s="3"/>
      <c r="J5" s="125" t="s">
        <v>17</v>
      </c>
      <c r="K5" s="222"/>
      <c r="L5" s="222"/>
      <c r="M5" s="223"/>
      <c r="N5" s="3"/>
      <c r="O5" s="220" t="s">
        <v>6</v>
      </c>
      <c r="P5" s="221"/>
      <c r="Q5" s="221"/>
      <c r="R5" s="272">
        <v>3</v>
      </c>
      <c r="S5" s="273"/>
      <c r="T5" s="142"/>
      <c r="U5" s="3"/>
      <c r="Y5" s="78"/>
      <c r="Z5" s="78"/>
      <c r="AA5" s="78"/>
      <c r="AB5" s="78"/>
      <c r="AC5" s="78"/>
      <c r="AD5" s="78"/>
      <c r="AE5" s="78"/>
      <c r="AF5" s="78"/>
      <c r="AG5" s="78"/>
      <c r="AH5" s="78"/>
    </row>
    <row r="6" spans="1:34" s="6" customFormat="1" ht="19.5" customHeight="1">
      <c r="A6" s="3"/>
      <c r="B6" s="3"/>
      <c r="C6" s="3"/>
      <c r="D6" s="125" t="s">
        <v>16</v>
      </c>
      <c r="E6" s="222"/>
      <c r="F6" s="222"/>
      <c r="G6" s="223"/>
      <c r="H6" s="3"/>
      <c r="I6" s="3"/>
      <c r="J6" s="125" t="s">
        <v>19</v>
      </c>
      <c r="K6" s="222"/>
      <c r="L6" s="222"/>
      <c r="M6" s="223"/>
      <c r="N6" s="3"/>
      <c r="O6" s="220" t="s">
        <v>7</v>
      </c>
      <c r="P6" s="221"/>
      <c r="Q6" s="221"/>
      <c r="R6" s="274">
        <v>1</v>
      </c>
      <c r="S6" s="275"/>
      <c r="T6" s="142"/>
      <c r="U6" s="3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s="6" customFormat="1" ht="19.5" customHeight="1" thickBot="1">
      <c r="A7" s="3"/>
      <c r="B7" s="3"/>
      <c r="C7" s="3"/>
      <c r="D7" s="125" t="s">
        <v>18</v>
      </c>
      <c r="E7" s="222"/>
      <c r="F7" s="222"/>
      <c r="G7" s="223"/>
      <c r="H7" s="3"/>
      <c r="I7" s="3"/>
      <c r="J7" s="125" t="s">
        <v>20</v>
      </c>
      <c r="K7" s="222"/>
      <c r="L7" s="222"/>
      <c r="M7" s="223"/>
      <c r="N7" s="3"/>
      <c r="O7" s="205" t="s">
        <v>8</v>
      </c>
      <c r="P7" s="206"/>
      <c r="Q7" s="206"/>
      <c r="R7" s="276">
        <v>0</v>
      </c>
      <c r="S7" s="277"/>
      <c r="T7" s="142"/>
      <c r="U7" s="3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34" s="6" customFormat="1" ht="19.5" customHeight="1" thickBot="1">
      <c r="A8" s="3"/>
      <c r="B8" s="3"/>
      <c r="C8" s="3"/>
      <c r="D8" s="138" t="s">
        <v>117</v>
      </c>
      <c r="E8" s="238"/>
      <c r="F8" s="238"/>
      <c r="G8" s="239"/>
      <c r="H8" s="3"/>
      <c r="I8" s="3"/>
      <c r="J8" s="138" t="s">
        <v>118</v>
      </c>
      <c r="K8" s="238"/>
      <c r="L8" s="238"/>
      <c r="M8" s="239"/>
      <c r="N8" s="38"/>
      <c r="O8" s="38"/>
      <c r="P8" s="143"/>
      <c r="Q8" s="29"/>
      <c r="R8" s="29"/>
      <c r="S8" s="3"/>
      <c r="T8" s="3"/>
      <c r="U8" s="3"/>
      <c r="Y8" s="78"/>
      <c r="Z8" s="78"/>
      <c r="AA8" s="78"/>
      <c r="AB8" s="78"/>
      <c r="AC8" s="78"/>
      <c r="AD8" s="78"/>
      <c r="AE8" s="78"/>
      <c r="AF8" s="78"/>
      <c r="AG8" s="78"/>
      <c r="AH8" s="78"/>
    </row>
    <row r="9" ht="15" customHeight="1" thickBot="1"/>
    <row r="10" spans="1:34" s="6" customFormat="1" ht="19.5" customHeight="1">
      <c r="A10" s="3"/>
      <c r="B10" s="3"/>
      <c r="C10" s="3"/>
      <c r="D10" s="29"/>
      <c r="E10" s="229" t="s">
        <v>119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Q10" s="29"/>
      <c r="R10" s="29"/>
      <c r="S10" s="3"/>
      <c r="T10" s="3"/>
      <c r="U10" s="84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s="6" customFormat="1" ht="19.5" customHeight="1">
      <c r="A11" s="3"/>
      <c r="B11" s="3"/>
      <c r="C11" s="3"/>
      <c r="D11" s="47"/>
      <c r="E11" s="99" t="s">
        <v>27</v>
      </c>
      <c r="F11" s="218" t="s">
        <v>10</v>
      </c>
      <c r="G11" s="219"/>
      <c r="H11" s="224">
        <f>IF(E5="","",E5)</f>
      </c>
      <c r="I11" s="225"/>
      <c r="J11" s="226"/>
      <c r="K11" s="210">
        <f>IF(E6="","",E6)</f>
      </c>
      <c r="L11" s="210"/>
      <c r="M11" s="211"/>
      <c r="N11" s="30"/>
      <c r="O11" s="14" t="s">
        <v>0</v>
      </c>
      <c r="P11" s="31"/>
      <c r="Q11" s="32">
        <v>12</v>
      </c>
      <c r="R11" s="46"/>
      <c r="S11" s="81"/>
      <c r="T11" s="3"/>
      <c r="U11" s="84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s="6" customFormat="1" ht="19.5" customHeight="1">
      <c r="A12" s="3"/>
      <c r="B12" s="3"/>
      <c r="C12" s="3"/>
      <c r="D12" s="47"/>
      <c r="E12" s="99" t="s">
        <v>28</v>
      </c>
      <c r="F12" s="218" t="s">
        <v>52</v>
      </c>
      <c r="G12" s="219"/>
      <c r="H12" s="209">
        <f>IF(E7="","",E7)</f>
      </c>
      <c r="I12" s="209"/>
      <c r="J12" s="209"/>
      <c r="K12" s="210">
        <f>IF(E8="","",E8)</f>
      </c>
      <c r="L12" s="210"/>
      <c r="M12" s="211"/>
      <c r="N12" s="30"/>
      <c r="O12" s="14" t="s">
        <v>0</v>
      </c>
      <c r="P12" s="31"/>
      <c r="Q12" s="32">
        <v>34</v>
      </c>
      <c r="R12" s="46"/>
      <c r="S12" s="81"/>
      <c r="T12" s="3"/>
      <c r="U12" s="84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</row>
    <row r="13" spans="1:34" s="6" customFormat="1" ht="19.5" customHeight="1">
      <c r="A13" s="3"/>
      <c r="B13" s="3"/>
      <c r="C13" s="3"/>
      <c r="D13" s="47"/>
      <c r="E13" s="99" t="s">
        <v>29</v>
      </c>
      <c r="F13" s="218" t="s">
        <v>12</v>
      </c>
      <c r="G13" s="219"/>
      <c r="H13" s="209">
        <f>H11</f>
      </c>
      <c r="I13" s="209"/>
      <c r="J13" s="209"/>
      <c r="K13" s="210">
        <f>H12</f>
      </c>
      <c r="L13" s="210"/>
      <c r="M13" s="211"/>
      <c r="N13" s="30"/>
      <c r="O13" s="14" t="s">
        <v>0</v>
      </c>
      <c r="P13" s="31"/>
      <c r="Q13" s="32">
        <v>13</v>
      </c>
      <c r="R13" s="46"/>
      <c r="S13" s="81"/>
      <c r="T13" s="3"/>
      <c r="U13" s="84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s="6" customFormat="1" ht="19.5" customHeight="1">
      <c r="A14" s="3"/>
      <c r="B14" s="3"/>
      <c r="C14" s="3"/>
      <c r="D14" s="47"/>
      <c r="E14" s="100" t="s">
        <v>31</v>
      </c>
      <c r="F14" s="246" t="s">
        <v>53</v>
      </c>
      <c r="G14" s="247"/>
      <c r="H14" s="234">
        <f>K11</f>
      </c>
      <c r="I14" s="234"/>
      <c r="J14" s="234"/>
      <c r="K14" s="232">
        <f>K12</f>
      </c>
      <c r="L14" s="232"/>
      <c r="M14" s="233"/>
      <c r="N14" s="40"/>
      <c r="O14" s="41" t="s">
        <v>0</v>
      </c>
      <c r="P14" s="42"/>
      <c r="Q14" s="32">
        <v>24</v>
      </c>
      <c r="R14" s="46"/>
      <c r="S14" s="81"/>
      <c r="T14" s="3"/>
      <c r="U14" s="84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s="6" customFormat="1" ht="19.5" customHeight="1">
      <c r="A15" s="3"/>
      <c r="B15" s="3"/>
      <c r="C15" s="3"/>
      <c r="D15" s="47"/>
      <c r="E15" s="100" t="s">
        <v>32</v>
      </c>
      <c r="F15" s="246" t="s">
        <v>54</v>
      </c>
      <c r="G15" s="247"/>
      <c r="H15" s="234">
        <f>H11</f>
      </c>
      <c r="I15" s="234"/>
      <c r="J15" s="234"/>
      <c r="K15" s="232">
        <f>K12</f>
      </c>
      <c r="L15" s="232"/>
      <c r="M15" s="233"/>
      <c r="N15" s="40"/>
      <c r="O15" s="41" t="s">
        <v>0</v>
      </c>
      <c r="P15" s="42"/>
      <c r="Q15" s="32">
        <v>14</v>
      </c>
      <c r="R15" s="46"/>
      <c r="S15" s="81"/>
      <c r="T15" s="3"/>
      <c r="U15" s="84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6" customFormat="1" ht="19.5" customHeight="1" thickBot="1">
      <c r="A16" s="3"/>
      <c r="B16" s="3"/>
      <c r="C16" s="3"/>
      <c r="D16" s="29"/>
      <c r="E16" s="101" t="s">
        <v>33</v>
      </c>
      <c r="F16" s="250" t="s">
        <v>11</v>
      </c>
      <c r="G16" s="251"/>
      <c r="H16" s="235">
        <f>K11</f>
      </c>
      <c r="I16" s="235"/>
      <c r="J16" s="235"/>
      <c r="K16" s="248">
        <f>H12</f>
      </c>
      <c r="L16" s="248"/>
      <c r="M16" s="249"/>
      <c r="N16" s="50"/>
      <c r="O16" s="43" t="s">
        <v>0</v>
      </c>
      <c r="P16" s="44"/>
      <c r="Q16" s="32">
        <v>23</v>
      </c>
      <c r="R16" s="46"/>
      <c r="S16" s="46"/>
      <c r="T16" s="3"/>
      <c r="U16" s="84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ht="4.5" customHeight="1" thickBot="1"/>
    <row r="18" spans="1:34" s="6" customFormat="1" ht="30" customHeight="1">
      <c r="A18" s="3"/>
      <c r="B18" s="195" t="s">
        <v>30</v>
      </c>
      <c r="C18" s="196"/>
      <c r="D18" s="197"/>
      <c r="E18" s="203">
        <f>H11</f>
      </c>
      <c r="F18" s="203"/>
      <c r="G18" s="203"/>
      <c r="H18" s="203">
        <f>K11</f>
      </c>
      <c r="I18" s="203"/>
      <c r="J18" s="203"/>
      <c r="K18" s="203">
        <f>H12</f>
      </c>
      <c r="L18" s="203"/>
      <c r="M18" s="203"/>
      <c r="N18" s="203">
        <f>K12</f>
      </c>
      <c r="O18" s="203"/>
      <c r="P18" s="203"/>
      <c r="Q18" s="212" t="s">
        <v>1</v>
      </c>
      <c r="R18" s="212"/>
      <c r="S18" s="212"/>
      <c r="T18" s="4" t="s">
        <v>2</v>
      </c>
      <c r="U18" s="5" t="s">
        <v>3</v>
      </c>
      <c r="V18" s="78"/>
      <c r="W18" s="78"/>
      <c r="X18" s="86">
        <v>10</v>
      </c>
      <c r="Y18" s="85"/>
      <c r="Z18" s="86">
        <v>9</v>
      </c>
      <c r="AA18" s="85"/>
      <c r="AB18" s="86">
        <v>8</v>
      </c>
      <c r="AC18" s="85"/>
      <c r="AD18" s="86">
        <v>7</v>
      </c>
      <c r="AE18" s="85"/>
      <c r="AF18" s="86">
        <v>4</v>
      </c>
      <c r="AG18" s="85"/>
      <c r="AH18" s="86" t="s">
        <v>62</v>
      </c>
    </row>
    <row r="19" spans="1:34" s="6" customFormat="1" ht="30" customHeight="1">
      <c r="A19" s="32">
        <v>1</v>
      </c>
      <c r="B19" s="198">
        <f>E18</f>
      </c>
      <c r="C19" s="199"/>
      <c r="D19" s="199"/>
      <c r="E19" s="7">
        <f>IF(H19&gt;J19,R5,IF(H19=J19,R6,R7))</f>
        <v>1</v>
      </c>
      <c r="F19" s="8">
        <f>IF(K19&gt;M19,R5,IF(K19=M19,R6,R7))</f>
        <v>1</v>
      </c>
      <c r="G19" s="9">
        <f>IF(N19&gt;P19,R5,IF(N19=P19,R6,R7))</f>
        <v>1</v>
      </c>
      <c r="H19" s="10">
        <f>IF(P11="","",N11)</f>
      </c>
      <c r="I19" s="11" t="s">
        <v>0</v>
      </c>
      <c r="J19" s="12">
        <f>IF(P11="","",P11)</f>
      </c>
      <c r="K19" s="10">
        <f>IF(P13="","",N13)</f>
      </c>
      <c r="L19" s="11" t="s">
        <v>0</v>
      </c>
      <c r="M19" s="12">
        <f>IF(P13="","",P13)</f>
      </c>
      <c r="N19" s="10">
        <f>IF(P15="","",N15)</f>
      </c>
      <c r="O19" s="11" t="s">
        <v>0</v>
      </c>
      <c r="P19" s="12">
        <f>IF(P15="","",P15)</f>
      </c>
      <c r="Q19" s="13">
        <f>IF(P16="","",H19+K19+N19)</f>
      </c>
      <c r="R19" s="14" t="s">
        <v>0</v>
      </c>
      <c r="S19" s="15">
        <f>IF(P16="","",J19+M19+P19)</f>
      </c>
      <c r="T19" s="16">
        <f>IF(P16="","",SUM(E19:G19))</f>
      </c>
      <c r="U19" s="17">
        <f>IF(P16="","",AH19&amp;".")</f>
      </c>
      <c r="V19" s="78">
        <f>SUM(E19:G19)</f>
        <v>3</v>
      </c>
      <c r="W19" s="78" t="e">
        <f>0.001*(Q19-S19)+0.00001*Q19</f>
        <v>#VALUE!</v>
      </c>
      <c r="X19" s="87">
        <f>RANK(V19,$V$19:$V$22)</f>
        <v>1</v>
      </c>
      <c r="Y19" s="79" t="e">
        <f>IF(A19=$Y$28,V19+0.1+W19,V19+W19)</f>
        <v>#N/A</v>
      </c>
      <c r="Z19" s="87" t="e">
        <f>RANK(Y19,$Y$19:$Y$22)</f>
        <v>#N/A</v>
      </c>
      <c r="AA19" s="79" t="e">
        <f>IF(A19=$AA$27,V19+0.1+W19,IF(A19=$AB$27,V19+0.1+W19,V19+W19))</f>
        <v>#N/A</v>
      </c>
      <c r="AB19" s="87" t="e">
        <f>RANK(AA19,$AA$19:$AA$22)</f>
        <v>#N/A</v>
      </c>
      <c r="AC19" s="79" t="e">
        <f>IF(A19=AC24,V19+G31,IF(A19=AC25,V19+J32,IF(A19=AC26,V19+M33,V19+W19)))</f>
        <v>#N/A</v>
      </c>
      <c r="AD19" s="88" t="e">
        <f>RANK(AC19,$AC$19:$AC$22)</f>
        <v>#N/A</v>
      </c>
      <c r="AE19" s="79"/>
      <c r="AF19" s="87" t="e">
        <f>RANK(W19,$W$19:$W$22)</f>
        <v>#VALUE!</v>
      </c>
      <c r="AG19" s="61"/>
      <c r="AH19" s="87" t="e">
        <f>IF($X$23=10,X19,IF($X$23=9,Z19,IF($X$23=8,AB19,IF($X$23=7,AD19,AF19))))</f>
        <v>#VALUE!</v>
      </c>
    </row>
    <row r="20" spans="1:34" s="6" customFormat="1" ht="30" customHeight="1">
      <c r="A20" s="32">
        <v>2</v>
      </c>
      <c r="B20" s="198">
        <f>H18</f>
      </c>
      <c r="C20" s="199"/>
      <c r="D20" s="199"/>
      <c r="E20" s="10">
        <f>J19</f>
      </c>
      <c r="F20" s="11" t="s">
        <v>0</v>
      </c>
      <c r="G20" s="12">
        <f>H19</f>
      </c>
      <c r="H20" s="7">
        <f>IF(E20&gt;G20,R5,IF(E20=G20,R6,R7))</f>
        <v>1</v>
      </c>
      <c r="I20" s="8">
        <f>IF(K20&gt;M20,R5,IF(K20=M20,R6,R7))</f>
        <v>1</v>
      </c>
      <c r="J20" s="9">
        <f>IF(N20&gt;P20,R5,IF(N20=P20,R6,R7))</f>
        <v>1</v>
      </c>
      <c r="K20" s="10">
        <f>IF(P16="","",N16)</f>
      </c>
      <c r="L20" s="11" t="s">
        <v>0</v>
      </c>
      <c r="M20" s="12">
        <f>IF(P16="","",P16)</f>
      </c>
      <c r="N20" s="10">
        <f>IF(P14="","",N14)</f>
      </c>
      <c r="O20" s="11" t="s">
        <v>0</v>
      </c>
      <c r="P20" s="12">
        <f>IF(P14="","",P14)</f>
      </c>
      <c r="Q20" s="13">
        <f>IF(P16="","",E20+K20+N20)</f>
      </c>
      <c r="R20" s="14" t="s">
        <v>0</v>
      </c>
      <c r="S20" s="15">
        <f>IF(P16="","",G20+M20+P20)</f>
      </c>
      <c r="T20" s="16">
        <f>IF(P16="","",SUM(H20:J20))</f>
      </c>
      <c r="U20" s="17">
        <f>IF(P16="","",AH20&amp;".")</f>
      </c>
      <c r="V20" s="78">
        <f>SUM(H20:J20)</f>
        <v>3</v>
      </c>
      <c r="W20" s="78" t="e">
        <f>0.001*(Q20-S20)+0.00001*Q20</f>
        <v>#VALUE!</v>
      </c>
      <c r="X20" s="87">
        <f>RANK(V20,$V$19:$V$22)</f>
        <v>1</v>
      </c>
      <c r="Y20" s="79" t="e">
        <f>IF(A20=$Y$28,V20+0.1+W20,V20+W20)</f>
        <v>#N/A</v>
      </c>
      <c r="Z20" s="87" t="e">
        <f>RANK(Y20,$Y$19:$Y$22)</f>
        <v>#N/A</v>
      </c>
      <c r="AA20" s="79" t="e">
        <f>IF(A20=$AA$27,V20+0.1+W20,IF(A20=$AB$27,V20+0.1+W20,V20+W20))</f>
        <v>#N/A</v>
      </c>
      <c r="AB20" s="87" t="e">
        <f>RANK(AA20,$AA$19:$AA$22)</f>
        <v>#N/A</v>
      </c>
      <c r="AC20" s="79" t="e">
        <f>IF(A20=AC24,V20+G31,IF(A20=AC25,V20+J32,IF(A20=AC26,V20+M33,V20+W20)))</f>
        <v>#N/A</v>
      </c>
      <c r="AD20" s="88" t="e">
        <f>RANK(AC20,$AC$19:$AC$22)</f>
        <v>#N/A</v>
      </c>
      <c r="AE20" s="79"/>
      <c r="AF20" s="87" t="e">
        <f>RANK(W20,$W$19:$W$22)</f>
        <v>#VALUE!</v>
      </c>
      <c r="AG20" s="61"/>
      <c r="AH20" s="87" t="e">
        <f>IF($X$23=10,X20,IF($X$23=9,Z20,IF($X$23=8,AB20,IF($X$23=7,AD20,AF20))))</f>
        <v>#VALUE!</v>
      </c>
    </row>
    <row r="21" spans="1:34" s="6" customFormat="1" ht="30" customHeight="1">
      <c r="A21" s="32">
        <v>3</v>
      </c>
      <c r="B21" s="198">
        <f>K18</f>
      </c>
      <c r="C21" s="199"/>
      <c r="D21" s="199"/>
      <c r="E21" s="10">
        <f>M19</f>
      </c>
      <c r="F21" s="11" t="s">
        <v>0</v>
      </c>
      <c r="G21" s="12">
        <f>K19</f>
      </c>
      <c r="H21" s="10">
        <f>M20</f>
      </c>
      <c r="I21" s="11" t="s">
        <v>0</v>
      </c>
      <c r="J21" s="12">
        <f>K20</f>
      </c>
      <c r="K21" s="64">
        <f>IF(E21&gt;G21,R5,IF(E21=G21,R6,R7))</f>
        <v>1</v>
      </c>
      <c r="L21" s="8">
        <f>IF(H21&gt;J21,R5,IF(H21=J21,R6,R7))</f>
        <v>1</v>
      </c>
      <c r="M21" s="65">
        <f>IF(N21&gt;P21,R5,IF(N21=P21,R6,R7))</f>
        <v>1</v>
      </c>
      <c r="N21" s="10">
        <f>IF(P12="","",N12)</f>
      </c>
      <c r="O21" s="11" t="s">
        <v>0</v>
      </c>
      <c r="P21" s="12">
        <f>IF(P12="","",P12)</f>
      </c>
      <c r="Q21" s="13">
        <f>IF(P16="","",E21+H21+N21)</f>
      </c>
      <c r="R21" s="14" t="s">
        <v>0</v>
      </c>
      <c r="S21" s="15">
        <f>IF(P16="","",G21+J21+P21)</f>
      </c>
      <c r="T21" s="16">
        <f>IF(P16="","",SUM(K21:M21))</f>
      </c>
      <c r="U21" s="17">
        <f>IF(P16="","",AH21&amp;".")</f>
      </c>
      <c r="V21" s="78">
        <f>SUM(K21:M21)</f>
        <v>3</v>
      </c>
      <c r="W21" s="78" t="e">
        <f>0.001*(Q21-S21)+0.00001*Q21</f>
        <v>#VALUE!</v>
      </c>
      <c r="X21" s="87">
        <f>RANK(V21,$V$19:$V$22)</f>
        <v>1</v>
      </c>
      <c r="Y21" s="79" t="e">
        <f>IF(A21=$Y$28,V21+0.1+W21,V21+W21)</f>
        <v>#N/A</v>
      </c>
      <c r="Z21" s="87" t="e">
        <f>RANK(Y21,$Y$19:$Y$22)</f>
        <v>#N/A</v>
      </c>
      <c r="AA21" s="79" t="e">
        <f>IF(A21=$AA$27,V21+0.1+W21,IF(A21=$AB$27,V21+0.1+W21,V21+W21))</f>
        <v>#N/A</v>
      </c>
      <c r="AB21" s="87" t="e">
        <f>RANK(AA21,$AA$19:$AA$22)</f>
        <v>#N/A</v>
      </c>
      <c r="AC21" s="79" t="e">
        <f>IF(A21=AC24,V21+G31,IF(A21=AC25,V21+J32,IF(A21=AC26,V21+M33,V19+W21)))</f>
        <v>#N/A</v>
      </c>
      <c r="AD21" s="88" t="e">
        <f>RANK(AC21,$AC$19:$AC$22)</f>
        <v>#N/A</v>
      </c>
      <c r="AE21" s="79"/>
      <c r="AF21" s="87" t="e">
        <f>RANK(W21,$W$19:$W$22)</f>
        <v>#VALUE!</v>
      </c>
      <c r="AG21" s="61"/>
      <c r="AH21" s="87" t="e">
        <f>IF($X$23=10,X21,IF($X$23=9,Z21,IF($X$23=8,AB21,IF($X$23=7,AD21,AF21))))</f>
        <v>#VALUE!</v>
      </c>
    </row>
    <row r="22" spans="1:34" s="6" customFormat="1" ht="30" customHeight="1" thickBot="1">
      <c r="A22" s="32">
        <v>4</v>
      </c>
      <c r="B22" s="200">
        <f>N18</f>
      </c>
      <c r="C22" s="201"/>
      <c r="D22" s="202"/>
      <c r="E22" s="51">
        <f>P19</f>
      </c>
      <c r="F22" s="52" t="s">
        <v>0</v>
      </c>
      <c r="G22" s="53">
        <f>N19</f>
      </c>
      <c r="H22" s="51">
        <f>P20</f>
      </c>
      <c r="I22" s="52" t="s">
        <v>0</v>
      </c>
      <c r="J22" s="53">
        <f>N20</f>
      </c>
      <c r="K22" s="51">
        <f>P21</f>
      </c>
      <c r="L22" s="52" t="s">
        <v>0</v>
      </c>
      <c r="M22" s="53">
        <f>N21</f>
      </c>
      <c r="N22" s="21">
        <f>IF(E22&gt;G22,R5,IF(E22=G22,R6,R7))</f>
        <v>1</v>
      </c>
      <c r="O22" s="66">
        <f>IF(H22&gt;J22,R5,IF(H22=J22,R6,R7))</f>
        <v>1</v>
      </c>
      <c r="P22" s="23">
        <f>IF(K22&gt;M22,R5,IF(K22=M22,R6,R7))</f>
        <v>1</v>
      </c>
      <c r="Q22" s="54">
        <f>IF(P16="","",E22+H22+K22)</f>
      </c>
      <c r="R22" s="43" t="s">
        <v>0</v>
      </c>
      <c r="S22" s="55">
        <f>IF(P16="","",G22+J22+M22)</f>
      </c>
      <c r="T22" s="56">
        <f>IF(P16="","",SUM(N22:P22))</f>
      </c>
      <c r="U22" s="28">
        <f>IF(P16="","",AH22&amp;".")</f>
      </c>
      <c r="V22" s="78">
        <f>SUM(N22:P22)</f>
        <v>3</v>
      </c>
      <c r="W22" s="78" t="e">
        <f>0.001*(Q22-S22)+0.00001*Q22</f>
        <v>#VALUE!</v>
      </c>
      <c r="X22" s="87">
        <f>RANK(V22,$V$19:$V$22)</f>
        <v>1</v>
      </c>
      <c r="Y22" s="79" t="e">
        <f>IF(A22=$Y$28,V22+0.1+W22,V22+W22)</f>
        <v>#N/A</v>
      </c>
      <c r="Z22" s="87" t="e">
        <f>RANK(Y22,$Y$19:$Y$22)</f>
        <v>#N/A</v>
      </c>
      <c r="AA22" s="79" t="e">
        <f>IF(A22=$AA$27,V22+0.1+W22,IF(A22=$AB$27,V22+0.1+W22,V22+W22))</f>
        <v>#N/A</v>
      </c>
      <c r="AB22" s="87" t="e">
        <f>RANK(AA22,$AA$19:$AA$22)</f>
        <v>#N/A</v>
      </c>
      <c r="AC22" s="79" t="e">
        <f>IF(A22=AC24,V22+G31,IF(A22=AC25,V22+J32,IF(A22=AC26,V22+M33,V22+W22)))</f>
        <v>#N/A</v>
      </c>
      <c r="AD22" s="88" t="e">
        <f>RANK(AC22,$AC$19:$AC$22)</f>
        <v>#N/A</v>
      </c>
      <c r="AE22" s="79"/>
      <c r="AF22" s="87" t="e">
        <f>RANK(W22,$W$19:$W$22)</f>
        <v>#VALUE!</v>
      </c>
      <c r="AG22" s="61"/>
      <c r="AH22" s="87" t="e">
        <f>IF($X$23=10,X22,IF($X$23=9,Z22,IF($X$23=8,AB22,IF($X$23=7,AD22,AF22))))</f>
        <v>#VALUE!</v>
      </c>
    </row>
    <row r="23" spans="4:29" ht="16.5" thickBot="1"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6"/>
      <c r="T23" s="156"/>
      <c r="U23" s="157"/>
      <c r="W23" s="79"/>
      <c r="X23" s="86">
        <f>SUM(X19:X22)</f>
        <v>4</v>
      </c>
      <c r="Y23" s="62">
        <f>IF(COUNTIF(X18:X22,1)=2,1,IF(COUNTIF(X18:X22,2)=2,2,IF(COUNTIF(X18:X22,3)=2,3,IF(COUNTIF(X18:X22,4)=2,4,5))))</f>
        <v>5</v>
      </c>
      <c r="AA23" s="77">
        <f>MATCH(1,X19:X22,0)</f>
        <v>1</v>
      </c>
      <c r="AB23" s="77" t="e">
        <f>MATCH(3,X19:X22,0)</f>
        <v>#N/A</v>
      </c>
      <c r="AC23" s="77">
        <f>IF(COUNTIF(X19:X22,1)=3,1,2)</f>
        <v>2</v>
      </c>
    </row>
    <row r="24" spans="19:30" ht="15.75" hidden="1">
      <c r="S24" s="80"/>
      <c r="T24" s="80"/>
      <c r="Y24" s="62" t="e">
        <f>MATCH(Y23,X19:X22,0)</f>
        <v>#N/A</v>
      </c>
      <c r="AA24" s="77">
        <f>IF(AA23=1,MATCH(1,X20:X22,0)+1,IF(AA23=1,MATCH(1,X20:X22,0)+2,4))</f>
        <v>2</v>
      </c>
      <c r="AB24" s="77" t="e">
        <f>IF(AB23=1,MATCH(3,X20:X22,0)+1,IF(AB23=1,MATCH(3,X21:X22,0)+2,4))</f>
        <v>#N/A</v>
      </c>
      <c r="AC24" s="62" t="e">
        <f>MATCH(AC23,X19:X22,0)</f>
        <v>#N/A</v>
      </c>
      <c r="AD24" s="62"/>
    </row>
    <row r="25" spans="19:30" ht="15.75" hidden="1">
      <c r="S25" s="80"/>
      <c r="T25" s="80"/>
      <c r="Y25" s="62" t="e">
        <f>IF(Y24=1,MATCH(Y23,X20:X22,0)+1,IF(Y24=2,MATCH(Y23,X21:X22,0)+2,4))</f>
        <v>#N/A</v>
      </c>
      <c r="AA25" s="62">
        <f>10*AA23+AA24</f>
        <v>12</v>
      </c>
      <c r="AB25" s="62" t="e">
        <f>10*AB23+AB24</f>
        <v>#N/A</v>
      </c>
      <c r="AC25" s="62" t="e">
        <f>IF(AC24=1,MATCH(AC23,X20:X22,0)+1,IF(AC24=2,MATCH(AC23,X21:X22,0)+2,4))</f>
        <v>#N/A</v>
      </c>
      <c r="AD25" s="62"/>
    </row>
    <row r="26" spans="19:30" ht="15.75" hidden="1">
      <c r="S26" s="80"/>
      <c r="T26" s="80"/>
      <c r="Y26" s="62" t="e">
        <f>10*Y24+Y25</f>
        <v>#N/A</v>
      </c>
      <c r="AA26" s="62">
        <f>MATCH(AA25,Q11:Q16,0)</f>
        <v>1</v>
      </c>
      <c r="AB26" s="62" t="e">
        <f>MATCH(AB25,Q11:Q16,0)</f>
        <v>#N/A</v>
      </c>
      <c r="AC26" s="62" t="e">
        <f>IF(AC25=2,MATCH(AC23,X21:X22,0)+2,4)</f>
        <v>#N/A</v>
      </c>
      <c r="AD26" s="62"/>
    </row>
    <row r="27" spans="19:30" ht="15.75" hidden="1">
      <c r="S27" s="80"/>
      <c r="T27" s="80"/>
      <c r="Y27" s="62" t="e">
        <f>MATCH(Y26,Q11:Q16,0)</f>
        <v>#N/A</v>
      </c>
      <c r="AA27" s="62">
        <f>IF(INDEX(N11:N16,AA26)=INDEX(P11:P16,AA26),0,IF(INDEX(N11:N16,AA26)&gt;INDEX(P11:P16,AA26),AA23,AA24))</f>
        <v>0</v>
      </c>
      <c r="AB27" s="62" t="e">
        <f>IF(INDEX(N11:N16,AB26)=INDEX(P11:P16,AB26),0,IF(INDEX(N11:N16,AB26)&gt;INDEX(P11:P16,AB26),AB23,AB24))</f>
        <v>#N/A</v>
      </c>
      <c r="AC27" s="62" t="e">
        <f>AC24*10+AC25</f>
        <v>#N/A</v>
      </c>
      <c r="AD27" s="62" t="e">
        <f>MATCH(AC27,Q11:Q16,0)</f>
        <v>#N/A</v>
      </c>
    </row>
    <row r="28" spans="19:30" ht="15.75" hidden="1">
      <c r="S28" s="80"/>
      <c r="T28" s="80"/>
      <c r="Y28" s="62" t="e">
        <f>IF(INDEX(N11:N16,Y27)=INDEX(P11:P16,Y27),0,IF(INDEX(N11:N16,Y27)&gt;INDEX(P11:P16,Y27),Y24,Y25))</f>
        <v>#N/A</v>
      </c>
      <c r="AC28" s="62" t="e">
        <f>AC24*10+AC26</f>
        <v>#N/A</v>
      </c>
      <c r="AD28" s="62" t="e">
        <f>MATCH(AC28,Q11:Q16,0)</f>
        <v>#N/A</v>
      </c>
    </row>
    <row r="29" spans="6:30" ht="16.5" hidden="1" thickBot="1">
      <c r="F29" s="2">
        <v>1</v>
      </c>
      <c r="G29" s="2">
        <v>1</v>
      </c>
      <c r="I29" s="2">
        <v>1</v>
      </c>
      <c r="J29" s="2">
        <v>1</v>
      </c>
      <c r="L29" s="2">
        <v>1</v>
      </c>
      <c r="M29" s="2">
        <v>1</v>
      </c>
      <c r="O29" s="2">
        <v>1</v>
      </c>
      <c r="P29" s="2">
        <v>1</v>
      </c>
      <c r="R29" s="2">
        <v>1</v>
      </c>
      <c r="S29" s="80">
        <v>1</v>
      </c>
      <c r="T29" s="80"/>
      <c r="AC29" s="62" t="e">
        <f>AC25*10+AC26</f>
        <v>#N/A</v>
      </c>
      <c r="AD29" s="62" t="e">
        <f>MATCH(AC29,Q11:Q16,0)</f>
        <v>#N/A</v>
      </c>
    </row>
    <row r="30" spans="1:34" s="6" customFormat="1" ht="30" customHeight="1" hidden="1">
      <c r="A30" s="3"/>
      <c r="B30" s="195" t="s">
        <v>30</v>
      </c>
      <c r="C30" s="196"/>
      <c r="D30" s="197"/>
      <c r="E30" s="203" t="e">
        <f>INDEX(E5:E8,AC24)</f>
        <v>#N/A</v>
      </c>
      <c r="F30" s="203"/>
      <c r="G30" s="203"/>
      <c r="H30" s="203" t="e">
        <f>INDEX(E5:E8,AC25)</f>
        <v>#N/A</v>
      </c>
      <c r="I30" s="203"/>
      <c r="J30" s="203"/>
      <c r="K30" s="203" t="e">
        <f>INDEX(E5:E8,AC26)</f>
        <v>#N/A</v>
      </c>
      <c r="L30" s="203"/>
      <c r="M30" s="203"/>
      <c r="N30" s="212" t="s">
        <v>1</v>
      </c>
      <c r="O30" s="212"/>
      <c r="P30" s="212"/>
      <c r="Q30" s="4" t="s">
        <v>2</v>
      </c>
      <c r="R30" s="244" t="s">
        <v>3</v>
      </c>
      <c r="S30" s="245"/>
      <c r="T30" s="3"/>
      <c r="U30" s="84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s="6" customFormat="1" ht="30" customHeight="1" hidden="1">
      <c r="A31" s="3"/>
      <c r="B31" s="198" t="e">
        <f>E30</f>
        <v>#N/A</v>
      </c>
      <c r="C31" s="199"/>
      <c r="D31" s="199"/>
      <c r="E31" s="7" t="e">
        <f>IF(H31&gt;J31,R5,IF(H31=J31,R6,R7))</f>
        <v>#N/A</v>
      </c>
      <c r="F31" s="8" t="e">
        <f>IF(K31&gt;M31,R5,IF(K31=M31,R6,R7))</f>
        <v>#N/A</v>
      </c>
      <c r="G31" s="9" t="e">
        <f>0.001*(N31-P31)+0.00001*N31+0.00001*W19</f>
        <v>#N/A</v>
      </c>
      <c r="H31" s="10" t="e">
        <f>INDEX(N11:N16,AD27)</f>
        <v>#N/A</v>
      </c>
      <c r="I31" s="11" t="s">
        <v>0</v>
      </c>
      <c r="J31" s="12" t="e">
        <f>INDEX(P11:P16,AD27)</f>
        <v>#N/A</v>
      </c>
      <c r="K31" s="10" t="e">
        <f>INDEX(N11:N16,AD28)</f>
        <v>#N/A</v>
      </c>
      <c r="L31" s="11" t="s">
        <v>0</v>
      </c>
      <c r="M31" s="12" t="e">
        <f>INDEX(P11:P16,AD28)</f>
        <v>#N/A</v>
      </c>
      <c r="N31" s="13" t="e">
        <f>H31+K31</f>
        <v>#N/A</v>
      </c>
      <c r="O31" s="14" t="s">
        <v>0</v>
      </c>
      <c r="P31" s="15" t="e">
        <f>J31+M31</f>
        <v>#N/A</v>
      </c>
      <c r="Q31" s="16" t="e">
        <f>SUM(E31:G31)</f>
        <v>#N/A</v>
      </c>
      <c r="R31" s="240" t="e">
        <f>RANK(Q31,$Q$31:$Q$33)</f>
        <v>#N/A</v>
      </c>
      <c r="S31" s="241"/>
      <c r="T31" s="3" t="e">
        <f>R31&amp;"."</f>
        <v>#N/A</v>
      </c>
      <c r="U31" s="84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s="6" customFormat="1" ht="30" customHeight="1" hidden="1">
      <c r="A32" s="3"/>
      <c r="B32" s="198" t="e">
        <f>H30</f>
        <v>#N/A</v>
      </c>
      <c r="C32" s="199"/>
      <c r="D32" s="199"/>
      <c r="E32" s="10" t="e">
        <f>J31</f>
        <v>#N/A</v>
      </c>
      <c r="F32" s="11" t="s">
        <v>0</v>
      </c>
      <c r="G32" s="12" t="e">
        <f>H31</f>
        <v>#N/A</v>
      </c>
      <c r="H32" s="7" t="e">
        <f>IF(E32&gt;G32,R5,IF(E32=G32,R6,R7))</f>
        <v>#N/A</v>
      </c>
      <c r="I32" s="8" t="e">
        <f>IF(K32&gt;M32,R5,IF(K32=M32,R6,R7))</f>
        <v>#N/A</v>
      </c>
      <c r="J32" s="9" t="e">
        <f>0.001*(N32-P32)+0.00001*N32+0.00001*W20</f>
        <v>#N/A</v>
      </c>
      <c r="K32" s="10" t="e">
        <f>INDEX(N11:N16,AD29)</f>
        <v>#N/A</v>
      </c>
      <c r="L32" s="11" t="s">
        <v>0</v>
      </c>
      <c r="M32" s="12" t="e">
        <f>INDEX(P11:P16,AD29)</f>
        <v>#N/A</v>
      </c>
      <c r="N32" s="13" t="e">
        <f>E32+K32</f>
        <v>#N/A</v>
      </c>
      <c r="O32" s="14" t="s">
        <v>0</v>
      </c>
      <c r="P32" s="15" t="e">
        <f>G32+M32</f>
        <v>#N/A</v>
      </c>
      <c r="Q32" s="16" t="e">
        <f>SUM(H32:J32)</f>
        <v>#N/A</v>
      </c>
      <c r="R32" s="240" t="e">
        <f>RANK(Q32,$Q$31:$Q$33)</f>
        <v>#N/A</v>
      </c>
      <c r="S32" s="241"/>
      <c r="T32" s="3" t="e">
        <f>R32&amp;"."</f>
        <v>#N/A</v>
      </c>
      <c r="U32" s="84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s="6" customFormat="1" ht="30" customHeight="1" hidden="1" thickBot="1">
      <c r="A33" s="3"/>
      <c r="B33" s="200" t="e">
        <f>K30</f>
        <v>#N/A</v>
      </c>
      <c r="C33" s="201"/>
      <c r="D33" s="202"/>
      <c r="E33" s="18" t="e">
        <f>M31</f>
        <v>#N/A</v>
      </c>
      <c r="F33" s="19" t="s">
        <v>0</v>
      </c>
      <c r="G33" s="20" t="e">
        <f>K31</f>
        <v>#N/A</v>
      </c>
      <c r="H33" s="18" t="e">
        <f>M32</f>
        <v>#N/A</v>
      </c>
      <c r="I33" s="19" t="s">
        <v>0</v>
      </c>
      <c r="J33" s="20" t="e">
        <f>K32</f>
        <v>#N/A</v>
      </c>
      <c r="K33" s="82" t="e">
        <f>IF(E33&gt;G33,R5,IF(E33=G33,R6,R7))</f>
        <v>#N/A</v>
      </c>
      <c r="L33" s="22" t="e">
        <f>IF(H33&gt;J33,R5,IF(H33=J33,R6,R7))</f>
        <v>#N/A</v>
      </c>
      <c r="M33" s="23" t="e">
        <f>0.001*(N33-P33)+0.00001*N33+0.00001*W22</f>
        <v>#N/A</v>
      </c>
      <c r="N33" s="24" t="e">
        <f>E33+H33</f>
        <v>#N/A</v>
      </c>
      <c r="O33" s="25" t="s">
        <v>0</v>
      </c>
      <c r="P33" s="26" t="e">
        <f>G33+J33</f>
        <v>#N/A</v>
      </c>
      <c r="Q33" s="27" t="e">
        <f>SUM(K33:M33)</f>
        <v>#N/A</v>
      </c>
      <c r="R33" s="242" t="e">
        <f>RANK(Q33,$Q$31:$Q$33)</f>
        <v>#N/A</v>
      </c>
      <c r="S33" s="243"/>
      <c r="T33" s="3" t="e">
        <f>R33&amp;"."</f>
        <v>#N/A</v>
      </c>
      <c r="U33" s="84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6:19" ht="15.75" hidden="1">
      <c r="F34" s="95">
        <f>IF($X$23=7,F29,"")</f>
      </c>
      <c r="G34" s="95">
        <f>IF($X$23=7,G29,"")</f>
      </c>
      <c r="I34" s="95">
        <f>IF($X$23=7,I29,"")</f>
      </c>
      <c r="J34" s="95">
        <f>IF($X$23=7,J29,"")</f>
      </c>
      <c r="L34" s="95">
        <f>IF($X$23=7,L29,"")</f>
      </c>
      <c r="M34" s="95">
        <f>IF($X$23=7,M29,"")</f>
      </c>
      <c r="O34" s="95">
        <f>IF($X$23=7,O29,"")</f>
      </c>
      <c r="P34" s="95">
        <f>IF($X$23=7,P29,"")</f>
      </c>
      <c r="R34" s="95">
        <f>IF($X$23=7,R29,"")</f>
      </c>
      <c r="S34" s="95">
        <f>IF($X$23=7,S29,"")</f>
      </c>
    </row>
    <row r="35" spans="4:20" ht="30" customHeight="1" hidden="1">
      <c r="D35" s="95">
        <f>IF($X$23=7,B30,"")</f>
      </c>
      <c r="E35" s="271" t="e">
        <f>IF($X$23=7,E30,x)</f>
        <v>#NAME?</v>
      </c>
      <c r="F35" s="271"/>
      <c r="G35" s="271"/>
      <c r="H35" s="271" t="e">
        <f>IF($X$23=7,H30,x)</f>
        <v>#NAME?</v>
      </c>
      <c r="I35" s="271"/>
      <c r="J35" s="271"/>
      <c r="K35" s="271" t="e">
        <f>IF($X$23=7,K30,x)</f>
        <v>#NAME?</v>
      </c>
      <c r="L35" s="271"/>
      <c r="M35" s="271"/>
      <c r="N35" s="271" t="e">
        <f>IF($X$23=7,N30,x)</f>
        <v>#NAME?</v>
      </c>
      <c r="O35" s="271"/>
      <c r="P35" s="271"/>
      <c r="Q35" s="96">
        <f>IF($X$23=7,Q30,"")</f>
      </c>
      <c r="R35" s="271" t="e">
        <f>IF($X$23=7,R30,x)</f>
        <v>#NAME?</v>
      </c>
      <c r="S35" s="271"/>
      <c r="T35" s="95">
        <f>IF($X$23=7,$S$29,"")</f>
      </c>
    </row>
    <row r="36" spans="4:20" ht="30" customHeight="1" hidden="1">
      <c r="D36" s="95">
        <f>IF($X$23=7,B31,"")</f>
      </c>
      <c r="E36" s="97">
        <f aca="true" t="shared" si="0" ref="E36:P36">IF($X$23=7,E31,"")</f>
      </c>
      <c r="F36" s="96">
        <f t="shared" si="0"/>
      </c>
      <c r="G36" s="98">
        <f t="shared" si="0"/>
      </c>
      <c r="H36" s="97">
        <f t="shared" si="0"/>
      </c>
      <c r="I36" s="96">
        <f t="shared" si="0"/>
      </c>
      <c r="J36" s="98">
        <f t="shared" si="0"/>
      </c>
      <c r="K36" s="97">
        <f t="shared" si="0"/>
      </c>
      <c r="L36" s="96">
        <f t="shared" si="0"/>
      </c>
      <c r="M36" s="98">
        <f t="shared" si="0"/>
      </c>
      <c r="N36" s="97">
        <f t="shared" si="0"/>
      </c>
      <c r="O36" s="96">
        <f t="shared" si="0"/>
      </c>
      <c r="P36" s="98">
        <f t="shared" si="0"/>
      </c>
      <c r="Q36" s="96">
        <f>IF($X$23=7,Q31,"")</f>
      </c>
      <c r="R36" s="271" t="e">
        <f>IF($X$23=7,T31,x)</f>
        <v>#NAME?</v>
      </c>
      <c r="S36" s="271"/>
      <c r="T36" s="95">
        <f>IF($X$23=7,$S$29,"")</f>
      </c>
    </row>
    <row r="37" spans="4:20" ht="30" customHeight="1" hidden="1">
      <c r="D37" s="95">
        <f>IF($X$23=7,B32,"")</f>
      </c>
      <c r="E37" s="97">
        <f aca="true" t="shared" si="1" ref="E37:P37">IF($X$23=7,E32,"")</f>
      </c>
      <c r="F37" s="96">
        <f t="shared" si="1"/>
      </c>
      <c r="G37" s="98">
        <f t="shared" si="1"/>
      </c>
      <c r="H37" s="97">
        <f t="shared" si="1"/>
      </c>
      <c r="I37" s="96">
        <f t="shared" si="1"/>
      </c>
      <c r="J37" s="98">
        <f t="shared" si="1"/>
      </c>
      <c r="K37" s="97">
        <f t="shared" si="1"/>
      </c>
      <c r="L37" s="96">
        <f t="shared" si="1"/>
      </c>
      <c r="M37" s="98">
        <f t="shared" si="1"/>
      </c>
      <c r="N37" s="97">
        <f t="shared" si="1"/>
      </c>
      <c r="O37" s="96">
        <f t="shared" si="1"/>
      </c>
      <c r="P37" s="98">
        <f t="shared" si="1"/>
      </c>
      <c r="Q37" s="96">
        <f>IF($X$23=7,Q32,"")</f>
      </c>
      <c r="R37" s="271" t="e">
        <f>IF($X$23=7,T32,x)</f>
        <v>#NAME?</v>
      </c>
      <c r="S37" s="271"/>
      <c r="T37" s="95">
        <f>IF($X$23=7,$S$29,"")</f>
      </c>
    </row>
    <row r="38" spans="4:20" ht="30" customHeight="1" hidden="1">
      <c r="D38" s="95">
        <f>IF($X$23=7,B33,"")</f>
      </c>
      <c r="E38" s="97">
        <f aca="true" t="shared" si="2" ref="E38:P38">IF($X$23=7,E33,"")</f>
      </c>
      <c r="F38" s="96">
        <f t="shared" si="2"/>
      </c>
      <c r="G38" s="98">
        <f t="shared" si="2"/>
      </c>
      <c r="H38" s="97">
        <f t="shared" si="2"/>
      </c>
      <c r="I38" s="96">
        <f t="shared" si="2"/>
      </c>
      <c r="J38" s="98">
        <f t="shared" si="2"/>
      </c>
      <c r="K38" s="97">
        <f t="shared" si="2"/>
      </c>
      <c r="L38" s="96">
        <f t="shared" si="2"/>
      </c>
      <c r="M38" s="98">
        <f t="shared" si="2"/>
      </c>
      <c r="N38" s="97">
        <f t="shared" si="2"/>
      </c>
      <c r="O38" s="96">
        <f t="shared" si="2"/>
      </c>
      <c r="P38" s="98">
        <f t="shared" si="2"/>
      </c>
      <c r="Q38" s="96">
        <f>IF($X$23=7,Q33,"")</f>
      </c>
      <c r="R38" s="271" t="e">
        <f>IF($X$23=7,T33,x)</f>
        <v>#NAME?</v>
      </c>
      <c r="S38" s="271"/>
      <c r="T38" s="95">
        <f>IF($X$23=7,$S$29,"")</f>
      </c>
    </row>
    <row r="39" ht="15.75" hidden="1">
      <c r="S39" s="95">
        <f>IF($X$23=7,$S$29,"")</f>
      </c>
    </row>
    <row r="40" ht="15" customHeight="1" hidden="1" thickBot="1"/>
    <row r="41" spans="1:34" s="6" customFormat="1" ht="19.5" customHeight="1">
      <c r="A41" s="3"/>
      <c r="B41" s="3"/>
      <c r="C41" s="3"/>
      <c r="D41" s="29"/>
      <c r="E41" s="229" t="s">
        <v>120</v>
      </c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1"/>
      <c r="Q41" s="29"/>
      <c r="R41" s="29"/>
      <c r="S41" s="3"/>
      <c r="T41" s="3"/>
      <c r="U41" s="84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</row>
    <row r="42" spans="1:34" s="6" customFormat="1" ht="19.5" customHeight="1">
      <c r="A42" s="3"/>
      <c r="B42" s="3"/>
      <c r="C42" s="3"/>
      <c r="D42" s="47"/>
      <c r="E42" s="99" t="s">
        <v>27</v>
      </c>
      <c r="F42" s="218" t="s">
        <v>10</v>
      </c>
      <c r="G42" s="219"/>
      <c r="H42" s="224">
        <f>IF(K5="","",K5)</f>
      </c>
      <c r="I42" s="225"/>
      <c r="J42" s="226"/>
      <c r="K42" s="210">
        <f>IF(K6="","",K6)</f>
      </c>
      <c r="L42" s="210"/>
      <c r="M42" s="211"/>
      <c r="N42" s="30"/>
      <c r="O42" s="14" t="s">
        <v>0</v>
      </c>
      <c r="P42" s="31"/>
      <c r="Q42" s="32">
        <v>12</v>
      </c>
      <c r="R42" s="46"/>
      <c r="S42" s="81"/>
      <c r="T42" s="3"/>
      <c r="U42" s="84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</row>
    <row r="43" spans="1:34" s="6" customFormat="1" ht="19.5" customHeight="1">
      <c r="A43" s="3"/>
      <c r="B43" s="3"/>
      <c r="C43" s="3"/>
      <c r="D43" s="47"/>
      <c r="E43" s="99" t="s">
        <v>28</v>
      </c>
      <c r="F43" s="218" t="s">
        <v>52</v>
      </c>
      <c r="G43" s="219"/>
      <c r="H43" s="209">
        <f>IF(K7="","",K7)</f>
      </c>
      <c r="I43" s="209"/>
      <c r="J43" s="209"/>
      <c r="K43" s="210">
        <f>IF(K8="","",K8)</f>
      </c>
      <c r="L43" s="210"/>
      <c r="M43" s="211"/>
      <c r="N43" s="30"/>
      <c r="O43" s="14" t="s">
        <v>0</v>
      </c>
      <c r="P43" s="31"/>
      <c r="Q43" s="32">
        <v>34</v>
      </c>
      <c r="R43" s="46"/>
      <c r="S43" s="81"/>
      <c r="T43" s="3"/>
      <c r="U43" s="84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</row>
    <row r="44" spans="1:34" s="6" customFormat="1" ht="19.5" customHeight="1">
      <c r="A44" s="3"/>
      <c r="B44" s="3"/>
      <c r="C44" s="3"/>
      <c r="D44" s="47"/>
      <c r="E44" s="99" t="s">
        <v>29</v>
      </c>
      <c r="F44" s="218" t="s">
        <v>12</v>
      </c>
      <c r="G44" s="219"/>
      <c r="H44" s="209">
        <f>H42</f>
      </c>
      <c r="I44" s="209"/>
      <c r="J44" s="209"/>
      <c r="K44" s="210">
        <f>H43</f>
      </c>
      <c r="L44" s="210"/>
      <c r="M44" s="211"/>
      <c r="N44" s="30"/>
      <c r="O44" s="14" t="s">
        <v>0</v>
      </c>
      <c r="P44" s="31"/>
      <c r="Q44" s="32">
        <v>13</v>
      </c>
      <c r="R44" s="46"/>
      <c r="S44" s="81"/>
      <c r="T44" s="3"/>
      <c r="U44" s="84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</row>
    <row r="45" spans="1:34" s="6" customFormat="1" ht="19.5" customHeight="1">
      <c r="A45" s="3"/>
      <c r="B45" s="3"/>
      <c r="C45" s="3"/>
      <c r="D45" s="47"/>
      <c r="E45" s="100" t="s">
        <v>31</v>
      </c>
      <c r="F45" s="246" t="s">
        <v>53</v>
      </c>
      <c r="G45" s="247"/>
      <c r="H45" s="234">
        <f>K42</f>
      </c>
      <c r="I45" s="234"/>
      <c r="J45" s="234"/>
      <c r="K45" s="232">
        <f>K43</f>
      </c>
      <c r="L45" s="232"/>
      <c r="M45" s="233"/>
      <c r="N45" s="40"/>
      <c r="O45" s="41" t="s">
        <v>0</v>
      </c>
      <c r="P45" s="42"/>
      <c r="Q45" s="32">
        <v>24</v>
      </c>
      <c r="R45" s="46"/>
      <c r="S45" s="81"/>
      <c r="T45" s="3"/>
      <c r="U45" s="84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</row>
    <row r="46" spans="1:34" s="6" customFormat="1" ht="19.5" customHeight="1">
      <c r="A46" s="3"/>
      <c r="B46" s="3"/>
      <c r="C46" s="3"/>
      <c r="D46" s="47"/>
      <c r="E46" s="100" t="s">
        <v>32</v>
      </c>
      <c r="F46" s="246" t="s">
        <v>54</v>
      </c>
      <c r="G46" s="247"/>
      <c r="H46" s="234">
        <f>H42</f>
      </c>
      <c r="I46" s="234"/>
      <c r="J46" s="234"/>
      <c r="K46" s="232">
        <f>K43</f>
      </c>
      <c r="L46" s="232"/>
      <c r="M46" s="233"/>
      <c r="N46" s="40"/>
      <c r="O46" s="41" t="s">
        <v>0</v>
      </c>
      <c r="P46" s="42"/>
      <c r="Q46" s="32">
        <v>14</v>
      </c>
      <c r="R46" s="46"/>
      <c r="S46" s="81"/>
      <c r="T46" s="3"/>
      <c r="U46" s="84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</row>
    <row r="47" spans="1:34" s="6" customFormat="1" ht="19.5" customHeight="1" thickBot="1">
      <c r="A47" s="3"/>
      <c r="B47" s="3"/>
      <c r="C47" s="3"/>
      <c r="D47" s="29"/>
      <c r="E47" s="101" t="s">
        <v>33</v>
      </c>
      <c r="F47" s="250" t="s">
        <v>11</v>
      </c>
      <c r="G47" s="251"/>
      <c r="H47" s="235">
        <f>K42</f>
      </c>
      <c r="I47" s="235"/>
      <c r="J47" s="235"/>
      <c r="K47" s="248">
        <f>H43</f>
      </c>
      <c r="L47" s="248"/>
      <c r="M47" s="249"/>
      <c r="N47" s="50"/>
      <c r="O47" s="43" t="s">
        <v>0</v>
      </c>
      <c r="P47" s="44"/>
      <c r="Q47" s="32">
        <v>23</v>
      </c>
      <c r="R47" s="46"/>
      <c r="S47" s="46"/>
      <c r="T47" s="3"/>
      <c r="U47" s="84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</row>
    <row r="48" ht="4.5" customHeight="1" thickBot="1"/>
    <row r="49" spans="1:34" s="6" customFormat="1" ht="30" customHeight="1">
      <c r="A49" s="3"/>
      <c r="B49" s="195" t="s">
        <v>34</v>
      </c>
      <c r="C49" s="196"/>
      <c r="D49" s="197"/>
      <c r="E49" s="203">
        <f>H42</f>
      </c>
      <c r="F49" s="203"/>
      <c r="G49" s="203"/>
      <c r="H49" s="203">
        <f>K42</f>
      </c>
      <c r="I49" s="203"/>
      <c r="J49" s="203"/>
      <c r="K49" s="203">
        <f>H43</f>
      </c>
      <c r="L49" s="203"/>
      <c r="M49" s="203"/>
      <c r="N49" s="203">
        <f>K43</f>
      </c>
      <c r="O49" s="203"/>
      <c r="P49" s="203"/>
      <c r="Q49" s="212" t="s">
        <v>1</v>
      </c>
      <c r="R49" s="212"/>
      <c r="S49" s="212"/>
      <c r="T49" s="4" t="s">
        <v>2</v>
      </c>
      <c r="U49" s="5" t="s">
        <v>3</v>
      </c>
      <c r="V49" s="78"/>
      <c r="W49" s="78"/>
      <c r="X49" s="86">
        <v>10</v>
      </c>
      <c r="Y49" s="85"/>
      <c r="Z49" s="86">
        <v>9</v>
      </c>
      <c r="AA49" s="85"/>
      <c r="AB49" s="86">
        <v>8</v>
      </c>
      <c r="AC49" s="85"/>
      <c r="AD49" s="86">
        <v>7</v>
      </c>
      <c r="AE49" s="85"/>
      <c r="AF49" s="86">
        <v>4</v>
      </c>
      <c r="AG49" s="85"/>
      <c r="AH49" s="86" t="s">
        <v>62</v>
      </c>
    </row>
    <row r="50" spans="1:34" s="6" customFormat="1" ht="30" customHeight="1">
      <c r="A50" s="32">
        <v>1</v>
      </c>
      <c r="B50" s="198">
        <f>E49</f>
      </c>
      <c r="C50" s="199"/>
      <c r="D50" s="199"/>
      <c r="E50" s="7">
        <f>IF(H50&gt;J50,R5,IF(H50=J50,R6,R7))</f>
        <v>1</v>
      </c>
      <c r="F50" s="8">
        <f>IF(K50&gt;M50,R5,IF(K50=M50,R6,R7))</f>
        <v>1</v>
      </c>
      <c r="G50" s="9">
        <f>IF(N50&gt;P50,R5,IF(N50=P50,R6,R7))</f>
        <v>1</v>
      </c>
      <c r="H50" s="10">
        <f>IF(P42="","",N42)</f>
      </c>
      <c r="I50" s="11" t="s">
        <v>0</v>
      </c>
      <c r="J50" s="12">
        <f>IF(P42="","",P42)</f>
      </c>
      <c r="K50" s="10">
        <f>IF(P44="","",N44)</f>
      </c>
      <c r="L50" s="11" t="s">
        <v>0</v>
      </c>
      <c r="M50" s="12">
        <f>IF(P44="","",P44)</f>
      </c>
      <c r="N50" s="10">
        <f>IF(P46="","",N46)</f>
      </c>
      <c r="O50" s="11" t="s">
        <v>0</v>
      </c>
      <c r="P50" s="12">
        <f>IF(P46="","",P46)</f>
      </c>
      <c r="Q50" s="13">
        <f>IF(P47="","",H50+K50+N50)</f>
      </c>
      <c r="R50" s="14" t="s">
        <v>0</v>
      </c>
      <c r="S50" s="15">
        <f>IF(P47="","",J50+M50+P50)</f>
      </c>
      <c r="T50" s="16">
        <f>IF(P47="","",SUM(E50:G50))</f>
      </c>
      <c r="U50" s="17">
        <f>IF(P47="","",AH50&amp;".")</f>
      </c>
      <c r="V50" s="78">
        <f>SUM(E50:G50)</f>
        <v>3</v>
      </c>
      <c r="W50" s="78" t="e">
        <f>0.001*(Q50-S50)+0.00001*Q50</f>
        <v>#VALUE!</v>
      </c>
      <c r="X50" s="87">
        <f>RANK(V50,$V$50:$V$53)</f>
        <v>1</v>
      </c>
      <c r="Y50" s="79" t="e">
        <f>IF(A50=$Y$59,V50+0.1+W50,V50+W50)</f>
        <v>#N/A</v>
      </c>
      <c r="Z50" s="87" t="e">
        <f>RANK(Y50,$Y$50:$Y$53)</f>
        <v>#N/A</v>
      </c>
      <c r="AA50" s="79" t="e">
        <f>IF(A50=$AA$58,V50+0.1+W50,IF(A50=$AB$58,V50+0.1+W50,V50+W50))</f>
        <v>#N/A</v>
      </c>
      <c r="AB50" s="87" t="e">
        <f>RANK(AA50,$AA$50:$AA$53)</f>
        <v>#N/A</v>
      </c>
      <c r="AC50" s="79" t="e">
        <f>IF(A50=AC55,V50+G62,IF(A50=AC56,V50+J63,IF(A50=AC57,V50+M64,V50+W50)))</f>
        <v>#N/A</v>
      </c>
      <c r="AD50" s="88" t="e">
        <f>RANK(AC50,$AC$19:$AC$22)</f>
        <v>#N/A</v>
      </c>
      <c r="AE50" s="79"/>
      <c r="AF50" s="87" t="e">
        <f>RANK(W50,$W$50:$W$53)</f>
        <v>#VALUE!</v>
      </c>
      <c r="AG50" s="61"/>
      <c r="AH50" s="87" t="e">
        <f>IF($X$23=10,X50,IF($X$23=9,Z50,IF($X$23=8,AB50,IF($X$23=7,AD50,AF50))))</f>
        <v>#VALUE!</v>
      </c>
    </row>
    <row r="51" spans="1:34" s="6" customFormat="1" ht="30" customHeight="1">
      <c r="A51" s="32">
        <v>2</v>
      </c>
      <c r="B51" s="198">
        <f>H49</f>
      </c>
      <c r="C51" s="199"/>
      <c r="D51" s="199"/>
      <c r="E51" s="10">
        <f>J50</f>
      </c>
      <c r="F51" s="11" t="s">
        <v>0</v>
      </c>
      <c r="G51" s="12">
        <f>H50</f>
      </c>
      <c r="H51" s="7">
        <f>IF(E51&gt;G51,R5,IF(E51=G51,R6,R7))</f>
        <v>1</v>
      </c>
      <c r="I51" s="8">
        <f>IF(K51&gt;M51,R5,IF(K51=M51,R6,R7))</f>
        <v>1</v>
      </c>
      <c r="J51" s="9">
        <f>IF(N51&gt;P51,R5,IF(N51=P51,R6,R7))</f>
        <v>1</v>
      </c>
      <c r="K51" s="10">
        <f>IF(P47="","",N47)</f>
      </c>
      <c r="L51" s="11" t="s">
        <v>0</v>
      </c>
      <c r="M51" s="12">
        <f>IF(P47="","",P47)</f>
      </c>
      <c r="N51" s="10">
        <f>IF(P45="","",N45)</f>
      </c>
      <c r="O51" s="11" t="s">
        <v>0</v>
      </c>
      <c r="P51" s="12">
        <f>IF(P45="","",P45)</f>
      </c>
      <c r="Q51" s="13">
        <f>IF(P47="","",E51+K51+N51)</f>
      </c>
      <c r="R51" s="14" t="s">
        <v>0</v>
      </c>
      <c r="S51" s="15">
        <f>IF(P47="","",G51+M51+P51)</f>
      </c>
      <c r="T51" s="16">
        <f>IF(P47="","",SUM(H51:J51))</f>
      </c>
      <c r="U51" s="17">
        <f>IF(P47="","",AH51&amp;".")</f>
      </c>
      <c r="V51" s="78">
        <f>SUM(H51:J51)</f>
        <v>3</v>
      </c>
      <c r="W51" s="78" t="e">
        <f>0.001*(Q51-S51)+0.00001*Q51</f>
        <v>#VALUE!</v>
      </c>
      <c r="X51" s="87">
        <f>RANK(V51,$V$50:$V$53)</f>
        <v>1</v>
      </c>
      <c r="Y51" s="79" t="e">
        <f>IF(A51=$Y$59,V51+0.1+W51,V51+W51)</f>
        <v>#N/A</v>
      </c>
      <c r="Z51" s="87" t="e">
        <f>RANK(Y51,$Y$50:$Y$53)</f>
        <v>#N/A</v>
      </c>
      <c r="AA51" s="79" t="e">
        <f>IF(A51=$AA$58,V51+0.1+W51,IF(A51=$AB$58,V51+0.1+W51,V51+W51))</f>
        <v>#N/A</v>
      </c>
      <c r="AB51" s="87" t="e">
        <f>RANK(AA51,$AA$50:$AA$53)</f>
        <v>#N/A</v>
      </c>
      <c r="AC51" s="79" t="e">
        <f>IF(A51=AC55,V51+G62,IF(A51=AC56,V51+J63,IF(A51=AC57,V51+M64,V51+W51)))</f>
        <v>#N/A</v>
      </c>
      <c r="AD51" s="88" t="e">
        <f>RANK(AC51,$AC$19:$AC$22)</f>
        <v>#N/A</v>
      </c>
      <c r="AE51" s="79"/>
      <c r="AF51" s="87" t="e">
        <f>RANK(W51,$W$50:$W$53)</f>
        <v>#VALUE!</v>
      </c>
      <c r="AG51" s="61"/>
      <c r="AH51" s="87" t="e">
        <f>IF($X$23=10,X51,IF($X$23=9,Z51,IF($X$23=8,AB51,IF($X$23=7,AD51,AF51))))</f>
        <v>#VALUE!</v>
      </c>
    </row>
    <row r="52" spans="1:34" s="6" customFormat="1" ht="30" customHeight="1">
      <c r="A52" s="32">
        <v>3</v>
      </c>
      <c r="B52" s="198">
        <f>K49</f>
      </c>
      <c r="C52" s="199"/>
      <c r="D52" s="199"/>
      <c r="E52" s="10">
        <f>M50</f>
      </c>
      <c r="F52" s="11" t="s">
        <v>0</v>
      </c>
      <c r="G52" s="12">
        <f>K50</f>
      </c>
      <c r="H52" s="10">
        <f>M51</f>
      </c>
      <c r="I52" s="11" t="s">
        <v>0</v>
      </c>
      <c r="J52" s="12">
        <f>K51</f>
      </c>
      <c r="K52" s="64">
        <f>IF(E52&gt;G52,R5,IF(E52=G52,R6,R7))</f>
        <v>1</v>
      </c>
      <c r="L52" s="8">
        <f>IF(H52&gt;J52,R5,IF(H52=J52,R6,R7))</f>
        <v>1</v>
      </c>
      <c r="M52" s="65">
        <f>IF(N52&gt;P52,R5,IF(N52=P52,R6,R7))</f>
        <v>1</v>
      </c>
      <c r="N52" s="10">
        <f>IF(P43="","",N43)</f>
      </c>
      <c r="O52" s="11" t="s">
        <v>0</v>
      </c>
      <c r="P52" s="12">
        <f>IF(P43="","",P43)</f>
      </c>
      <c r="Q52" s="13">
        <f>IF(P47="","",E52+H52+N52)</f>
      </c>
      <c r="R52" s="14" t="s">
        <v>0</v>
      </c>
      <c r="S52" s="15">
        <f>IF(P47="","",G52+J52+P52)</f>
      </c>
      <c r="T52" s="16">
        <f>IF(P47="","",SUM(K52:M52))</f>
      </c>
      <c r="U52" s="17">
        <f>IF(P47="","",AH52&amp;".")</f>
      </c>
      <c r="V52" s="78">
        <f>SUM(K52:M52)</f>
        <v>3</v>
      </c>
      <c r="W52" s="78" t="e">
        <f>0.001*(Q52-S52)+0.00001*Q52</f>
        <v>#VALUE!</v>
      </c>
      <c r="X52" s="87">
        <f>RANK(V52,$V$50:$V$53)</f>
        <v>1</v>
      </c>
      <c r="Y52" s="79" t="e">
        <f>IF(A52=$Y$59,V52+0.1+W52,V52+W52)</f>
        <v>#N/A</v>
      </c>
      <c r="Z52" s="87" t="e">
        <f>RANK(Y52,$Y$50:$Y$53)</f>
        <v>#N/A</v>
      </c>
      <c r="AA52" s="79" t="e">
        <f>IF(A52=$AA$58,V52+0.1+W52,IF(A52=$AB$58,V52+0.1+W52,V52+W52))</f>
        <v>#N/A</v>
      </c>
      <c r="AB52" s="87" t="e">
        <f>RANK(AA52,$AA$50:$AA$53)</f>
        <v>#N/A</v>
      </c>
      <c r="AC52" s="79" t="e">
        <f>IF(A52=AC55,V52+G62,IF(A52=AC56,V52+J63,IF(A52=AC57,V52+M64,V50+W52)))</f>
        <v>#N/A</v>
      </c>
      <c r="AD52" s="88" t="e">
        <f>RANK(AC52,$AC$19:$AC$22)</f>
        <v>#N/A</v>
      </c>
      <c r="AE52" s="79"/>
      <c r="AF52" s="87" t="e">
        <f>RANK(W52,$W$50:$W$53)</f>
        <v>#VALUE!</v>
      </c>
      <c r="AG52" s="61"/>
      <c r="AH52" s="87" t="e">
        <f>IF($X$23=10,X52,IF($X$23=9,Z52,IF($X$23=8,AB52,IF($X$23=7,AD52,AF52))))</f>
        <v>#VALUE!</v>
      </c>
    </row>
    <row r="53" spans="1:34" s="6" customFormat="1" ht="30" customHeight="1" thickBot="1">
      <c r="A53" s="32">
        <v>4</v>
      </c>
      <c r="B53" s="200">
        <f>N49</f>
      </c>
      <c r="C53" s="201"/>
      <c r="D53" s="202"/>
      <c r="E53" s="51">
        <f>P50</f>
      </c>
      <c r="F53" s="52" t="s">
        <v>0</v>
      </c>
      <c r="G53" s="53">
        <f>N50</f>
      </c>
      <c r="H53" s="51">
        <f>P51</f>
      </c>
      <c r="I53" s="52" t="s">
        <v>0</v>
      </c>
      <c r="J53" s="53">
        <f>N51</f>
      </c>
      <c r="K53" s="51">
        <f>P52</f>
      </c>
      <c r="L53" s="52" t="s">
        <v>0</v>
      </c>
      <c r="M53" s="53">
        <f>N52</f>
      </c>
      <c r="N53" s="21">
        <f>IF(E53&gt;G53,R5,IF(E53=G53,R6,R7))</f>
        <v>1</v>
      </c>
      <c r="O53" s="66">
        <f>IF(H53&gt;J53,R5,IF(H53=J53,R6,R7))</f>
        <v>1</v>
      </c>
      <c r="P53" s="23">
        <f>IF(K53&gt;M53,R5,IF(K53=M53,R6,R7))</f>
        <v>1</v>
      </c>
      <c r="Q53" s="54">
        <f>IF(P47="","",E53+H53+K53)</f>
      </c>
      <c r="R53" s="43" t="s">
        <v>0</v>
      </c>
      <c r="S53" s="55">
        <f>IF(P47="","",G53+J53+M53)</f>
      </c>
      <c r="T53" s="56">
        <f>IF(P47="","",SUM(N53:P53))</f>
      </c>
      <c r="U53" s="28">
        <f>IF(P47="","",AH53&amp;".")</f>
      </c>
      <c r="V53" s="78">
        <f>SUM(N53:P53)</f>
        <v>3</v>
      </c>
      <c r="W53" s="78" t="e">
        <f>0.001*(Q53-S53)+0.00001*Q53</f>
        <v>#VALUE!</v>
      </c>
      <c r="X53" s="87">
        <f>RANK(V53,$V$50:$V$53)</f>
        <v>1</v>
      </c>
      <c r="Y53" s="79" t="e">
        <f>IF(A53=$Y$59,V53+0.1+W53,V53+W53)</f>
        <v>#N/A</v>
      </c>
      <c r="Z53" s="87" t="e">
        <f>RANK(Y53,$Y$50:$Y$53)</f>
        <v>#N/A</v>
      </c>
      <c r="AA53" s="79" t="e">
        <f>IF(A53=$AA$58,V53+0.1+W53,IF(A53=$AB$58,V53+0.1+W53,V53+W53))</f>
        <v>#N/A</v>
      </c>
      <c r="AB53" s="87" t="e">
        <f>RANK(AA53,$AA$50:$AA$53)</f>
        <v>#N/A</v>
      </c>
      <c r="AC53" s="79" t="e">
        <f>IF(A53=AC55,V53+G62,IF(A53=AC56,V53+J63,IF(A53=AC57,V53+M64,V53+W53)))</f>
        <v>#N/A</v>
      </c>
      <c r="AD53" s="88" t="e">
        <f>RANK(AC53,$AC$19:$AC$22)</f>
        <v>#N/A</v>
      </c>
      <c r="AE53" s="79"/>
      <c r="AF53" s="87" t="e">
        <f>RANK(W53,$W$50:$W$53)</f>
        <v>#VALUE!</v>
      </c>
      <c r="AG53" s="61"/>
      <c r="AH53" s="87" t="e">
        <f>IF($X$23=10,X53,IF($X$23=9,Z53,IF($X$23=8,AB53,IF($X$23=7,AD53,AF53))))</f>
        <v>#VALUE!</v>
      </c>
    </row>
    <row r="54" spans="4:29" ht="16.5" thickBot="1"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6"/>
      <c r="T54" s="156"/>
      <c r="U54" s="157"/>
      <c r="W54" s="79"/>
      <c r="X54" s="86">
        <f>SUM(X50:X53)</f>
        <v>4</v>
      </c>
      <c r="Y54" s="62">
        <f>IF(COUNTIF(X49:X53,1)=2,1,IF(COUNTIF(X49:X53,2)=2,2,IF(COUNTIF(X49:X53,3)=2,3,IF(COUNTIF(X49:X53,4)=2,4,5))))</f>
        <v>5</v>
      </c>
      <c r="AA54" s="77">
        <f>MATCH(1,X50:X53,0)</f>
        <v>1</v>
      </c>
      <c r="AB54" s="77" t="e">
        <f>MATCH(3,X50:X53,0)</f>
        <v>#N/A</v>
      </c>
      <c r="AC54" s="77">
        <f>IF(COUNTIF(X50:X53,1)=3,1,2)</f>
        <v>2</v>
      </c>
    </row>
    <row r="55" spans="19:30" ht="15.75" hidden="1">
      <c r="S55" s="80"/>
      <c r="T55" s="80"/>
      <c r="Y55" s="62" t="e">
        <f>MATCH(Y54,X50:X53,0)</f>
        <v>#N/A</v>
      </c>
      <c r="AA55" s="77">
        <f>IF(AA54=1,MATCH(1,X51:X53,0)+1,IF(AA54=1,MATCH(1,X51:X53,0)+2,4))</f>
        <v>2</v>
      </c>
      <c r="AB55" s="77" t="e">
        <f>IF(AB54=1,MATCH(3,X51:X53,0)+1,IF(AB54=1,MATCH(3,X52:X53,0)+2,4))</f>
        <v>#N/A</v>
      </c>
      <c r="AC55" s="62" t="e">
        <f>MATCH(AC54,X50:X53,0)</f>
        <v>#N/A</v>
      </c>
      <c r="AD55" s="62"/>
    </row>
    <row r="56" spans="19:30" ht="15.75" hidden="1">
      <c r="S56" s="80"/>
      <c r="T56" s="80"/>
      <c r="Y56" s="62" t="e">
        <f>IF(Y55=1,MATCH(Y54,X51:X53,0)+1,IF(Y55=2,MATCH(Y54,X52:X53,0)+2,4))</f>
        <v>#N/A</v>
      </c>
      <c r="AA56" s="62">
        <f>10*AA54+AA55</f>
        <v>12</v>
      </c>
      <c r="AB56" s="62" t="e">
        <f>10*AB54+AB55</f>
        <v>#N/A</v>
      </c>
      <c r="AC56" s="62" t="e">
        <f>IF(AC55=1,MATCH(AC54,X51:X53,0)+1,IF(AC55=2,MATCH(AC54,X52:X53,0)+2,4))</f>
        <v>#N/A</v>
      </c>
      <c r="AD56" s="62"/>
    </row>
    <row r="57" spans="19:30" ht="15.75" hidden="1">
      <c r="S57" s="80"/>
      <c r="T57" s="80"/>
      <c r="Y57" s="62" t="e">
        <f>10*Y55+Y56</f>
        <v>#N/A</v>
      </c>
      <c r="AA57" s="62">
        <f>MATCH(AA56,Q42:Q47,0)</f>
        <v>1</v>
      </c>
      <c r="AB57" s="62" t="e">
        <f>MATCH(AB56,Q42:Q47,0)</f>
        <v>#N/A</v>
      </c>
      <c r="AC57" s="62" t="e">
        <f>IF(AC56=2,MATCH(AC54,X52:X53,0)+2,4)</f>
        <v>#N/A</v>
      </c>
      <c r="AD57" s="62"/>
    </row>
    <row r="58" spans="19:30" ht="15.75" hidden="1">
      <c r="S58" s="80"/>
      <c r="T58" s="80"/>
      <c r="Y58" s="62" t="e">
        <f>MATCH(Y57,Q42:Q47,0)</f>
        <v>#N/A</v>
      </c>
      <c r="AA58" s="62">
        <f>IF(INDEX(N42:N47,AA57)=INDEX(P42:P47,AA57),0,IF(INDEX(N42:N47,AA57)&gt;INDEX(P42:P47,AA57),AA54,AA55))</f>
        <v>0</v>
      </c>
      <c r="AB58" s="62" t="e">
        <f>IF(INDEX(N42:N47,AB57)=INDEX(P42:P47,AB57),0,IF(INDEX(N42:N47,AB57)&gt;INDEX(P42:P47,AB57),AB54,AB55))</f>
        <v>#N/A</v>
      </c>
      <c r="AC58" s="62" t="e">
        <f>AC55*10+AC56</f>
        <v>#N/A</v>
      </c>
      <c r="AD58" s="62" t="e">
        <f>MATCH(AC58,Q42:Q47,0)</f>
        <v>#N/A</v>
      </c>
    </row>
    <row r="59" spans="19:30" ht="15.75" hidden="1">
      <c r="S59" s="80"/>
      <c r="T59" s="80"/>
      <c r="Y59" s="62" t="e">
        <f>IF(INDEX(N42:N47,Y58)=INDEX(P42:P47,Y58),0,IF(INDEX(N42:N47,Y58)&gt;INDEX(P42:P47,Y58),Y55,Y56))</f>
        <v>#N/A</v>
      </c>
      <c r="AC59" s="62" t="e">
        <f>AC55*10+AC57</f>
        <v>#N/A</v>
      </c>
      <c r="AD59" s="62" t="e">
        <f>MATCH(AC59,Q42:Q47,0)</f>
        <v>#N/A</v>
      </c>
    </row>
    <row r="60" spans="6:30" ht="16.5" hidden="1" thickBot="1">
      <c r="F60" s="2">
        <v>1</v>
      </c>
      <c r="G60" s="2">
        <v>1</v>
      </c>
      <c r="I60" s="2">
        <v>1</v>
      </c>
      <c r="J60" s="2">
        <v>1</v>
      </c>
      <c r="L60" s="2">
        <v>1</v>
      </c>
      <c r="M60" s="2">
        <v>1</v>
      </c>
      <c r="O60" s="2">
        <v>1</v>
      </c>
      <c r="P60" s="2">
        <v>1</v>
      </c>
      <c r="R60" s="2">
        <v>1</v>
      </c>
      <c r="S60" s="80">
        <v>1</v>
      </c>
      <c r="T60" s="80"/>
      <c r="AC60" s="62" t="e">
        <f>AC56*10+AC57</f>
        <v>#N/A</v>
      </c>
      <c r="AD60" s="62" t="e">
        <f>MATCH(AC60,Q42:Q47,0)</f>
        <v>#N/A</v>
      </c>
    </row>
    <row r="61" spans="1:34" s="6" customFormat="1" ht="30" customHeight="1" hidden="1">
      <c r="A61" s="3"/>
      <c r="B61" s="195" t="s">
        <v>34</v>
      </c>
      <c r="C61" s="196"/>
      <c r="D61" s="197"/>
      <c r="E61" s="203" t="e">
        <f>INDEX(K5:K8,AC55)</f>
        <v>#N/A</v>
      </c>
      <c r="F61" s="203"/>
      <c r="G61" s="203"/>
      <c r="H61" s="203" t="e">
        <f>INDEX(K5:K8,AC56)</f>
        <v>#N/A</v>
      </c>
      <c r="I61" s="203"/>
      <c r="J61" s="203"/>
      <c r="K61" s="203" t="e">
        <f>INDEX(K5:K8,AC57)</f>
        <v>#N/A</v>
      </c>
      <c r="L61" s="203"/>
      <c r="M61" s="203"/>
      <c r="N61" s="212" t="s">
        <v>1</v>
      </c>
      <c r="O61" s="212"/>
      <c r="P61" s="212"/>
      <c r="Q61" s="4" t="s">
        <v>2</v>
      </c>
      <c r="R61" s="244" t="s">
        <v>3</v>
      </c>
      <c r="S61" s="245"/>
      <c r="T61" s="3"/>
      <c r="U61" s="84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spans="1:34" s="6" customFormat="1" ht="30" customHeight="1" hidden="1">
      <c r="A62" s="3"/>
      <c r="B62" s="198" t="e">
        <f>E61</f>
        <v>#N/A</v>
      </c>
      <c r="C62" s="199"/>
      <c r="D62" s="199"/>
      <c r="E62" s="106" t="e">
        <f>IF(H62&gt;J62,R5,IF(H62=J62,R6,R7))</f>
        <v>#N/A</v>
      </c>
      <c r="F62" s="104" t="e">
        <f>IF(K62&gt;M62,R5,IF(K62=M62,R6,R7))</f>
        <v>#N/A</v>
      </c>
      <c r="G62" s="105" t="e">
        <f>0.001*(N62-P62)+0.00001*N62+0.00001*W50</f>
        <v>#N/A</v>
      </c>
      <c r="H62" s="10" t="e">
        <f>INDEX(N42:N47,AD58)</f>
        <v>#N/A</v>
      </c>
      <c r="I62" s="11" t="s">
        <v>0</v>
      </c>
      <c r="J62" s="12" t="e">
        <f>INDEX(P42:P47,AD58)</f>
        <v>#N/A</v>
      </c>
      <c r="K62" s="10" t="e">
        <f>INDEX(N42:N47,AD59)</f>
        <v>#N/A</v>
      </c>
      <c r="L62" s="11" t="s">
        <v>0</v>
      </c>
      <c r="M62" s="12" t="e">
        <f>INDEX(P42:P47,AD59)</f>
        <v>#N/A</v>
      </c>
      <c r="N62" s="13" t="e">
        <f>H62+K62</f>
        <v>#N/A</v>
      </c>
      <c r="O62" s="14" t="s">
        <v>0</v>
      </c>
      <c r="P62" s="15" t="e">
        <f>J62+M62</f>
        <v>#N/A</v>
      </c>
      <c r="Q62" s="16" t="e">
        <f>SUM(E62:G62)</f>
        <v>#N/A</v>
      </c>
      <c r="R62" s="240" t="e">
        <f>RANK(Q62,$Q$31:$Q$33)</f>
        <v>#N/A</v>
      </c>
      <c r="S62" s="241"/>
      <c r="T62" s="3" t="e">
        <f>R62&amp;"."</f>
        <v>#N/A</v>
      </c>
      <c r="U62" s="84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</row>
    <row r="63" spans="1:34" s="6" customFormat="1" ht="30" customHeight="1" hidden="1">
      <c r="A63" s="3"/>
      <c r="B63" s="198" t="e">
        <f>H61</f>
        <v>#N/A</v>
      </c>
      <c r="C63" s="199"/>
      <c r="D63" s="199"/>
      <c r="E63" s="10" t="e">
        <f>J62</f>
        <v>#N/A</v>
      </c>
      <c r="F63" s="11" t="s">
        <v>0</v>
      </c>
      <c r="G63" s="12" t="e">
        <f>H62</f>
        <v>#N/A</v>
      </c>
      <c r="H63" s="106" t="e">
        <f>IF(E63&gt;G63,R5,IF(E63=G63,R6,R7))</f>
        <v>#N/A</v>
      </c>
      <c r="I63" s="104" t="e">
        <f>IF(K63&gt;M63,R5,IF(K63=M63,R6,R7))</f>
        <v>#N/A</v>
      </c>
      <c r="J63" s="105" t="e">
        <f>0.001*(N63-P63)+0.00001*N63+0.00001*W51</f>
        <v>#N/A</v>
      </c>
      <c r="K63" s="10" t="e">
        <f>INDEX(N42:N47,AD60)</f>
        <v>#N/A</v>
      </c>
      <c r="L63" s="11" t="s">
        <v>0</v>
      </c>
      <c r="M63" s="12" t="e">
        <f>INDEX(P42:P47,AD60)</f>
        <v>#N/A</v>
      </c>
      <c r="N63" s="13" t="e">
        <f>E63+K63</f>
        <v>#N/A</v>
      </c>
      <c r="O63" s="14" t="s">
        <v>0</v>
      </c>
      <c r="P63" s="15" t="e">
        <f>G63+M63</f>
        <v>#N/A</v>
      </c>
      <c r="Q63" s="16" t="e">
        <f>SUM(H63:J63)</f>
        <v>#N/A</v>
      </c>
      <c r="R63" s="240" t="e">
        <f>RANK(Q63,$Q$31:$Q$33)</f>
        <v>#N/A</v>
      </c>
      <c r="S63" s="241"/>
      <c r="T63" s="3" t="e">
        <f>R63&amp;"."</f>
        <v>#N/A</v>
      </c>
      <c r="U63" s="84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spans="1:34" s="6" customFormat="1" ht="30" customHeight="1" hidden="1" thickBot="1">
      <c r="A64" s="3"/>
      <c r="B64" s="200" t="e">
        <f>K61</f>
        <v>#N/A</v>
      </c>
      <c r="C64" s="201"/>
      <c r="D64" s="202"/>
      <c r="E64" s="18" t="e">
        <f>M62</f>
        <v>#N/A</v>
      </c>
      <c r="F64" s="19" t="s">
        <v>0</v>
      </c>
      <c r="G64" s="20" t="e">
        <f>K62</f>
        <v>#N/A</v>
      </c>
      <c r="H64" s="18" t="e">
        <f>M63</f>
        <v>#N/A</v>
      </c>
      <c r="I64" s="19" t="s">
        <v>0</v>
      </c>
      <c r="J64" s="20" t="e">
        <f>K63</f>
        <v>#N/A</v>
      </c>
      <c r="K64" s="158" t="e">
        <f>IF(E64&gt;G64,R5,IF(E64=G64,R6,R7))</f>
        <v>#N/A</v>
      </c>
      <c r="L64" s="159" t="e">
        <f>IF(H64&gt;J64,R5,IF(H64=J64,R6,R7))</f>
        <v>#N/A</v>
      </c>
      <c r="M64" s="111" t="e">
        <f>0.001*(N64-P64)+0.00001*N64+0.00001*W53</f>
        <v>#N/A</v>
      </c>
      <c r="N64" s="24" t="e">
        <f>E64+H64</f>
        <v>#N/A</v>
      </c>
      <c r="O64" s="25" t="s">
        <v>0</v>
      </c>
      <c r="P64" s="26" t="e">
        <f>G64+J64</f>
        <v>#N/A</v>
      </c>
      <c r="Q64" s="27" t="e">
        <f>SUM(K64:M64)</f>
        <v>#N/A</v>
      </c>
      <c r="R64" s="242" t="e">
        <f>RANK(Q64,$Q$31:$Q$33)</f>
        <v>#N/A</v>
      </c>
      <c r="S64" s="243"/>
      <c r="T64" s="3" t="e">
        <f>R64&amp;"."</f>
        <v>#N/A</v>
      </c>
      <c r="U64" s="84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ht="16.5" hidden="1" thickBot="1"/>
    <row r="66" spans="1:21" s="6" customFormat="1" ht="19.5" customHeight="1">
      <c r="A66" s="3"/>
      <c r="B66" s="3"/>
      <c r="C66" s="3"/>
      <c r="D66" s="29"/>
      <c r="E66" s="229" t="s">
        <v>116</v>
      </c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1"/>
      <c r="Q66" s="29"/>
      <c r="R66" s="29"/>
      <c r="S66" s="3"/>
      <c r="T66" s="3"/>
      <c r="U66" s="3"/>
    </row>
    <row r="67" spans="1:21" s="6" customFormat="1" ht="19.5" customHeight="1">
      <c r="A67" s="3"/>
      <c r="B67" s="3"/>
      <c r="C67" s="3"/>
      <c r="D67" s="47" t="e">
        <v>#REF!</v>
      </c>
      <c r="E67" s="99" t="s">
        <v>27</v>
      </c>
      <c r="F67" s="219" t="s">
        <v>121</v>
      </c>
      <c r="G67" s="219"/>
      <c r="H67" s="209">
        <f>IF(P16="","",IF(AH19=4,B19,IF(AH20=4,B20,IF(AH21=4,B21,B22))))</f>
      </c>
      <c r="I67" s="209"/>
      <c r="J67" s="209"/>
      <c r="K67" s="210">
        <f>IF(P47="","",IF(AH50=4,B50,IF(AH51=4,B51,IF(AH52=4,B52,B53))))</f>
      </c>
      <c r="L67" s="210"/>
      <c r="M67" s="210"/>
      <c r="N67" s="30"/>
      <c r="O67" s="14" t="s">
        <v>0</v>
      </c>
      <c r="P67" s="31"/>
      <c r="Q67" s="32"/>
      <c r="R67" s="32"/>
      <c r="S67" s="3"/>
      <c r="T67" s="3"/>
      <c r="U67" s="3"/>
    </row>
    <row r="68" spans="1:21" s="6" customFormat="1" ht="19.5" customHeight="1">
      <c r="A68" s="3"/>
      <c r="B68" s="3"/>
      <c r="C68" s="3"/>
      <c r="D68" s="47" t="e">
        <v>#REF!</v>
      </c>
      <c r="E68" s="99" t="s">
        <v>28</v>
      </c>
      <c r="F68" s="219" t="s">
        <v>40</v>
      </c>
      <c r="G68" s="219"/>
      <c r="H68" s="209">
        <f>IF(P16="","",IF(AH19=3,B19,IF(AH20=3,B20,IF(AH21=3,B21,B22))))</f>
      </c>
      <c r="I68" s="209"/>
      <c r="J68" s="209"/>
      <c r="K68" s="210">
        <f>IF(P47="","",IF(AH50=3,B50,IF(AH51=3,B51,IF(AH52=3,B52,B53))))</f>
      </c>
      <c r="L68" s="210"/>
      <c r="M68" s="210"/>
      <c r="N68" s="39"/>
      <c r="O68" s="14" t="s">
        <v>0</v>
      </c>
      <c r="P68" s="31"/>
      <c r="Q68" s="32"/>
      <c r="R68" s="32"/>
      <c r="S68" s="3"/>
      <c r="T68" s="3"/>
      <c r="U68" s="3"/>
    </row>
    <row r="69" spans="1:21" s="6" customFormat="1" ht="19.5" customHeight="1">
      <c r="A69" s="3"/>
      <c r="B69" s="3"/>
      <c r="C69" s="3"/>
      <c r="D69" s="47" t="e">
        <v>#REF!</v>
      </c>
      <c r="E69" s="99" t="s">
        <v>29</v>
      </c>
      <c r="F69" s="219" t="s">
        <v>50</v>
      </c>
      <c r="G69" s="219"/>
      <c r="H69" s="209">
        <f>IF(P16="","",IF(AH19=2,B19,IF(AH20=2,B20,IF(AH21=2,B21,B22))))</f>
      </c>
      <c r="I69" s="209"/>
      <c r="J69" s="209"/>
      <c r="K69" s="210">
        <f>IF(P47="","",IF(AH50=2,B50,IF(AH51=2,B51,IF(AH52=2,B52,B53))))</f>
      </c>
      <c r="L69" s="210"/>
      <c r="M69" s="210"/>
      <c r="N69" s="39"/>
      <c r="O69" s="14" t="s">
        <v>0</v>
      </c>
      <c r="P69" s="31"/>
      <c r="Q69" s="32"/>
      <c r="R69" s="32"/>
      <c r="S69" s="3"/>
      <c r="T69" s="3"/>
      <c r="U69" s="3"/>
    </row>
    <row r="70" spans="1:21" s="6" customFormat="1" ht="19.5" customHeight="1" thickBot="1">
      <c r="A70" s="3"/>
      <c r="B70" s="3"/>
      <c r="C70" s="3"/>
      <c r="D70" s="47" t="e">
        <v>#REF!</v>
      </c>
      <c r="E70" s="101" t="s">
        <v>31</v>
      </c>
      <c r="F70" s="217" t="s">
        <v>46</v>
      </c>
      <c r="G70" s="217"/>
      <c r="H70" s="235">
        <f>IF(P16="","",IF(AH19=1,B19,IF(AH20=1,B20,IF(AH21=1,B21,B22))))</f>
      </c>
      <c r="I70" s="235"/>
      <c r="J70" s="235"/>
      <c r="K70" s="248">
        <f>IF(P47="","",IF(AH50=1,B50,IF(AH51=1,B51,IF(AH52=1,B52,B53))))</f>
      </c>
      <c r="L70" s="248"/>
      <c r="M70" s="248"/>
      <c r="N70" s="50"/>
      <c r="O70" s="43" t="s">
        <v>0</v>
      </c>
      <c r="P70" s="44"/>
      <c r="Q70" s="32"/>
      <c r="R70" s="32"/>
      <c r="S70" s="3"/>
      <c r="T70" s="3"/>
      <c r="U70" s="3"/>
    </row>
    <row r="71" spans="2:34" ht="4.5" customHeight="1" thickBot="1">
      <c r="B71" s="3"/>
      <c r="C71" s="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U71" s="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2:34" ht="19.5" customHeight="1">
      <c r="B72" s="3"/>
      <c r="C72" s="3"/>
      <c r="D72" s="29"/>
      <c r="E72" s="29"/>
      <c r="F72" s="29"/>
      <c r="G72" s="227" t="s">
        <v>112</v>
      </c>
      <c r="H72" s="212"/>
      <c r="I72" s="212"/>
      <c r="J72" s="228"/>
      <c r="K72" s="29"/>
      <c r="L72" s="29"/>
      <c r="M72" s="29"/>
      <c r="N72" s="29"/>
      <c r="O72" s="29"/>
      <c r="P72" s="29"/>
      <c r="Q72" s="29"/>
      <c r="R72" s="29"/>
      <c r="U72" s="1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2:34" ht="19.5" customHeight="1">
      <c r="B73" s="3"/>
      <c r="C73" s="3"/>
      <c r="D73" s="29"/>
      <c r="E73" s="29"/>
      <c r="F73" s="29"/>
      <c r="G73" s="99" t="s">
        <v>27</v>
      </c>
      <c r="H73" s="210">
        <f>IF(P70="","",IF(N70&gt;P70,H70,K70))</f>
      </c>
      <c r="I73" s="210"/>
      <c r="J73" s="263"/>
      <c r="K73" s="29"/>
      <c r="L73" s="29"/>
      <c r="M73" s="29"/>
      <c r="N73" s="29"/>
      <c r="O73" s="29"/>
      <c r="P73" s="29"/>
      <c r="Q73" s="29"/>
      <c r="R73" s="29"/>
      <c r="U73" s="1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2:34" ht="19.5" customHeight="1">
      <c r="B74" s="3"/>
      <c r="C74" s="3"/>
      <c r="D74" s="29"/>
      <c r="E74" s="29"/>
      <c r="F74" s="29"/>
      <c r="G74" s="99" t="s">
        <v>28</v>
      </c>
      <c r="H74" s="210">
        <f>IF(P70="","",IF(N70&gt;P70,K70,H70))</f>
      </c>
      <c r="I74" s="210"/>
      <c r="J74" s="263"/>
      <c r="K74" s="29"/>
      <c r="L74" s="29"/>
      <c r="M74" s="29"/>
      <c r="N74" s="29"/>
      <c r="O74" s="29"/>
      <c r="P74" s="29"/>
      <c r="Q74" s="29"/>
      <c r="R74" s="29"/>
      <c r="U74" s="1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2:34" ht="19.5" customHeight="1">
      <c r="B75" s="3"/>
      <c r="C75" s="3"/>
      <c r="D75" s="29"/>
      <c r="E75" s="29"/>
      <c r="F75" s="29"/>
      <c r="G75" s="99" t="s">
        <v>29</v>
      </c>
      <c r="H75" s="210">
        <f>IF(P69="","",IF(N69&gt;P69,H69,K69))</f>
      </c>
      <c r="I75" s="210"/>
      <c r="J75" s="263"/>
      <c r="K75" s="29"/>
      <c r="L75" s="29"/>
      <c r="M75" s="29"/>
      <c r="N75" s="29"/>
      <c r="O75" s="29"/>
      <c r="P75" s="29"/>
      <c r="Q75" s="29"/>
      <c r="R75" s="29"/>
      <c r="U75" s="1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2:34" ht="19.5" customHeight="1">
      <c r="B76" s="3"/>
      <c r="C76" s="3"/>
      <c r="D76" s="29"/>
      <c r="E76" s="29"/>
      <c r="F76" s="29"/>
      <c r="G76" s="99" t="s">
        <v>31</v>
      </c>
      <c r="H76" s="210">
        <f>IF(P69="","",IF(N69&gt;P69,K69,H69))</f>
      </c>
      <c r="I76" s="210"/>
      <c r="J76" s="263"/>
      <c r="K76" s="29"/>
      <c r="L76" s="29"/>
      <c r="M76" s="29"/>
      <c r="N76" s="29"/>
      <c r="O76" s="29"/>
      <c r="P76" s="29"/>
      <c r="Q76" s="29"/>
      <c r="R76" s="29"/>
      <c r="U76" s="1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2:34" ht="19.5" customHeight="1">
      <c r="B77" s="3"/>
      <c r="C77" s="3"/>
      <c r="D77" s="29"/>
      <c r="E77" s="29"/>
      <c r="F77" s="29"/>
      <c r="G77" s="99" t="s">
        <v>32</v>
      </c>
      <c r="H77" s="210">
        <f>IF(P68="","",IF(N68&gt;P68,H68,K68))</f>
      </c>
      <c r="I77" s="210"/>
      <c r="J77" s="263"/>
      <c r="K77" s="29"/>
      <c r="L77" s="29"/>
      <c r="M77" s="29"/>
      <c r="N77" s="29"/>
      <c r="O77" s="29"/>
      <c r="P77" s="29"/>
      <c r="Q77" s="29"/>
      <c r="R77" s="29"/>
      <c r="U77" s="1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2:34" ht="19.5" customHeight="1">
      <c r="B78" s="3"/>
      <c r="C78" s="3"/>
      <c r="D78" s="29"/>
      <c r="E78" s="29"/>
      <c r="F78" s="29"/>
      <c r="G78" s="99" t="s">
        <v>33</v>
      </c>
      <c r="H78" s="210">
        <f>IF(P68="","",IF(N68&gt;P68,K68,H68))</f>
      </c>
      <c r="I78" s="210"/>
      <c r="J78" s="263"/>
      <c r="K78" s="29"/>
      <c r="L78" s="29"/>
      <c r="M78" s="29"/>
      <c r="N78" s="29"/>
      <c r="O78" s="29"/>
      <c r="P78" s="29"/>
      <c r="Q78" s="29"/>
      <c r="R78" s="29"/>
      <c r="U78" s="1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2:34" ht="19.5" customHeight="1">
      <c r="B79" s="3"/>
      <c r="C79" s="3"/>
      <c r="D79" s="29"/>
      <c r="E79" s="29"/>
      <c r="F79" s="29"/>
      <c r="G79" s="99" t="s">
        <v>37</v>
      </c>
      <c r="H79" s="210">
        <f>IF(P67="","",IF(N67&gt;P67,H67,K67))</f>
      </c>
      <c r="I79" s="210"/>
      <c r="J79" s="263"/>
      <c r="K79" s="29"/>
      <c r="L79" s="29"/>
      <c r="M79" s="29"/>
      <c r="N79" s="29"/>
      <c r="O79" s="29"/>
      <c r="P79" s="29"/>
      <c r="Q79" s="29"/>
      <c r="R79" s="29"/>
      <c r="U79" s="1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2:34" ht="19.5" customHeight="1" thickBot="1">
      <c r="B80" s="3"/>
      <c r="C80" s="3"/>
      <c r="D80" s="29"/>
      <c r="E80" s="29"/>
      <c r="F80" s="29"/>
      <c r="G80" s="102" t="s">
        <v>38</v>
      </c>
      <c r="H80" s="213">
        <f>IF(P67="","",IF(N67&gt;P67,K67,H67))</f>
      </c>
      <c r="I80" s="213"/>
      <c r="J80" s="264"/>
      <c r="K80" s="29"/>
      <c r="L80" s="29"/>
      <c r="M80" s="29"/>
      <c r="N80" s="29"/>
      <c r="O80" s="29"/>
      <c r="P80" s="29"/>
      <c r="Q80" s="29"/>
      <c r="R80" s="29"/>
      <c r="U80" s="1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8" ht="15.75"/>
  </sheetData>
  <sheetProtection sheet="1" objects="1" scenarios="1"/>
  <mergeCells count="131">
    <mergeCell ref="R36:S36"/>
    <mergeCell ref="R37:S37"/>
    <mergeCell ref="R38:S38"/>
    <mergeCell ref="E35:G35"/>
    <mergeCell ref="H35:J35"/>
    <mergeCell ref="K35:M35"/>
    <mergeCell ref="N35:P35"/>
    <mergeCell ref="R35:S35"/>
    <mergeCell ref="E5:G5"/>
    <mergeCell ref="O7:Q7"/>
    <mergeCell ref="N18:P18"/>
    <mergeCell ref="K18:M18"/>
    <mergeCell ref="F15:G15"/>
    <mergeCell ref="H15:J15"/>
    <mergeCell ref="Q18:S18"/>
    <mergeCell ref="K15:M15"/>
    <mergeCell ref="K14:M14"/>
    <mergeCell ref="K16:M16"/>
    <mergeCell ref="E7:G7"/>
    <mergeCell ref="F14:G14"/>
    <mergeCell ref="H14:J14"/>
    <mergeCell ref="D1:R1"/>
    <mergeCell ref="F13:G13"/>
    <mergeCell ref="F12:G12"/>
    <mergeCell ref="F11:G11"/>
    <mergeCell ref="K13:M13"/>
    <mergeCell ref="O5:Q5"/>
    <mergeCell ref="O6:Q6"/>
    <mergeCell ref="K5:M5"/>
    <mergeCell ref="E6:G6"/>
    <mergeCell ref="R31:S31"/>
    <mergeCell ref="E18:G18"/>
    <mergeCell ref="H18:J18"/>
    <mergeCell ref="E30:G30"/>
    <mergeCell ref="H30:J30"/>
    <mergeCell ref="K30:M30"/>
    <mergeCell ref="N30:P30"/>
    <mergeCell ref="R30:S30"/>
    <mergeCell ref="B31:D31"/>
    <mergeCell ref="B32:D32"/>
    <mergeCell ref="O4:S4"/>
    <mergeCell ref="B22:D22"/>
    <mergeCell ref="D4:G4"/>
    <mergeCell ref="J4:M4"/>
    <mergeCell ref="R5:S5"/>
    <mergeCell ref="R6:S6"/>
    <mergeCell ref="R7:S7"/>
    <mergeCell ref="K6:M6"/>
    <mergeCell ref="F69:G69"/>
    <mergeCell ref="H69:J69"/>
    <mergeCell ref="G72:J72"/>
    <mergeCell ref="B18:D18"/>
    <mergeCell ref="B19:D19"/>
    <mergeCell ref="B20:D20"/>
    <mergeCell ref="B21:D21"/>
    <mergeCell ref="B64:D64"/>
    <mergeCell ref="B62:D62"/>
    <mergeCell ref="B30:D30"/>
    <mergeCell ref="H47:J47"/>
    <mergeCell ref="K49:M49"/>
    <mergeCell ref="R32:S32"/>
    <mergeCell ref="F70:G70"/>
    <mergeCell ref="H70:J70"/>
    <mergeCell ref="K70:M70"/>
    <mergeCell ref="R33:S33"/>
    <mergeCell ref="F68:G68"/>
    <mergeCell ref="H68:J68"/>
    <mergeCell ref="K68:M68"/>
    <mergeCell ref="F47:G47"/>
    <mergeCell ref="B49:D49"/>
    <mergeCell ref="E49:G49"/>
    <mergeCell ref="K69:M69"/>
    <mergeCell ref="E8:G8"/>
    <mergeCell ref="H13:J13"/>
    <mergeCell ref="H11:J11"/>
    <mergeCell ref="E66:P66"/>
    <mergeCell ref="F67:G67"/>
    <mergeCell ref="H67:J67"/>
    <mergeCell ref="B33:D33"/>
    <mergeCell ref="B61:D61"/>
    <mergeCell ref="K7:M7"/>
    <mergeCell ref="E41:P41"/>
    <mergeCell ref="F42:G42"/>
    <mergeCell ref="H42:J42"/>
    <mergeCell ref="H43:J43"/>
    <mergeCell ref="K43:M43"/>
    <mergeCell ref="F44:G44"/>
    <mergeCell ref="H44:J44"/>
    <mergeCell ref="K44:M44"/>
    <mergeCell ref="K8:M8"/>
    <mergeCell ref="K42:M42"/>
    <mergeCell ref="F43:G43"/>
    <mergeCell ref="K11:M11"/>
    <mergeCell ref="H12:J12"/>
    <mergeCell ref="H16:J16"/>
    <mergeCell ref="E10:P10"/>
    <mergeCell ref="K12:M12"/>
    <mergeCell ref="F16:G16"/>
    <mergeCell ref="F46:G46"/>
    <mergeCell ref="H46:J46"/>
    <mergeCell ref="K46:M46"/>
    <mergeCell ref="B63:D63"/>
    <mergeCell ref="B52:D52"/>
    <mergeCell ref="B53:D53"/>
    <mergeCell ref="K47:M47"/>
    <mergeCell ref="H49:J49"/>
    <mergeCell ref="B50:D50"/>
    <mergeCell ref="B51:D51"/>
    <mergeCell ref="B2:U2"/>
    <mergeCell ref="E61:G61"/>
    <mergeCell ref="R62:S62"/>
    <mergeCell ref="R63:S63"/>
    <mergeCell ref="N49:P49"/>
    <mergeCell ref="Q49:S49"/>
    <mergeCell ref="F45:G45"/>
    <mergeCell ref="R61:S61"/>
    <mergeCell ref="H45:J45"/>
    <mergeCell ref="K45:M45"/>
    <mergeCell ref="H80:J80"/>
    <mergeCell ref="H73:J73"/>
    <mergeCell ref="H74:J74"/>
    <mergeCell ref="H75:J75"/>
    <mergeCell ref="H76:J76"/>
    <mergeCell ref="H77:J77"/>
    <mergeCell ref="H78:J78"/>
    <mergeCell ref="H79:J79"/>
    <mergeCell ref="R64:S64"/>
    <mergeCell ref="H61:J61"/>
    <mergeCell ref="K61:M61"/>
    <mergeCell ref="N61:P61"/>
    <mergeCell ref="K67:M67"/>
  </mergeCells>
  <conditionalFormatting sqref="Q36:Q38">
    <cfRule type="cellIs" priority="1" dxfId="81" operator="equal" stopIfTrue="1">
      <formula>Q31</formula>
    </cfRule>
  </conditionalFormatting>
  <conditionalFormatting sqref="E35:S35">
    <cfRule type="cellIs" priority="2" dxfId="82" operator="equal" stopIfTrue="1">
      <formula>E30</formula>
    </cfRule>
  </conditionalFormatting>
  <conditionalFormatting sqref="E36 H37 K38">
    <cfRule type="cellIs" priority="3" dxfId="83" operator="equal" stopIfTrue="1">
      <formula>E31</formula>
    </cfRule>
  </conditionalFormatting>
  <conditionalFormatting sqref="F36 I37 L38">
    <cfRule type="cellIs" priority="4" dxfId="84" operator="equal" stopIfTrue="1">
      <formula>F31</formula>
    </cfRule>
  </conditionalFormatting>
  <conditionalFormatting sqref="G36 J37 M38">
    <cfRule type="cellIs" priority="5" dxfId="85" operator="equal" stopIfTrue="1">
      <formula>G31</formula>
    </cfRule>
  </conditionalFormatting>
  <conditionalFormatting sqref="H36 H38 E37:E38 K36:K37">
    <cfRule type="cellIs" priority="6" dxfId="86" operator="equal" stopIfTrue="1">
      <formula>E31</formula>
    </cfRule>
  </conditionalFormatting>
  <conditionalFormatting sqref="I36 F37:F38 I38 L36:L37">
    <cfRule type="cellIs" priority="7" dxfId="87" operator="equal" stopIfTrue="1">
      <formula>F31</formula>
    </cfRule>
  </conditionalFormatting>
  <conditionalFormatting sqref="G37:G38 J38 J36 M36:M37">
    <cfRule type="cellIs" priority="8" dxfId="88" operator="equal" stopIfTrue="1">
      <formula>G31</formula>
    </cfRule>
  </conditionalFormatting>
  <conditionalFormatting sqref="F34:G34 I34:J34 L34:M34 O34:P34 R34:S34">
    <cfRule type="cellIs" priority="9" dxfId="89" operator="equal" stopIfTrue="1">
      <formula>F29</formula>
    </cfRule>
  </conditionalFormatting>
  <conditionalFormatting sqref="R36:S38">
    <cfRule type="cellIs" priority="10" dxfId="81" operator="equal" stopIfTrue="1">
      <formula>T31</formula>
    </cfRule>
  </conditionalFormatting>
  <conditionalFormatting sqref="N36:N38">
    <cfRule type="cellIs" priority="11" dxfId="90" operator="equal" stopIfTrue="1">
      <formula>N31</formula>
    </cfRule>
  </conditionalFormatting>
  <conditionalFormatting sqref="O36:O38">
    <cfRule type="cellIs" priority="12" dxfId="91" operator="equal" stopIfTrue="1">
      <formula>O31</formula>
    </cfRule>
  </conditionalFormatting>
  <conditionalFormatting sqref="P36:P38">
    <cfRule type="cellIs" priority="13" dxfId="92" operator="equal" stopIfTrue="1">
      <formula>P31</formula>
    </cfRule>
  </conditionalFormatting>
  <conditionalFormatting sqref="D35">
    <cfRule type="cellIs" priority="14" dxfId="81" operator="equal" stopIfTrue="1">
      <formula>B30</formula>
    </cfRule>
  </conditionalFormatting>
  <conditionalFormatting sqref="D38">
    <cfRule type="cellIs" priority="15" dxfId="82" operator="equal" stopIfTrue="1">
      <formula>$B33</formula>
    </cfRule>
  </conditionalFormatting>
  <conditionalFormatting sqref="D36">
    <cfRule type="cellIs" priority="16" dxfId="82" operator="equal" stopIfTrue="1">
      <formula>$B$31</formula>
    </cfRule>
  </conditionalFormatting>
  <conditionalFormatting sqref="D37">
    <cfRule type="cellIs" priority="17" dxfId="82" operator="equal" stopIfTrue="1">
      <formula>$B$32</formula>
    </cfRule>
  </conditionalFormatting>
  <conditionalFormatting sqref="T35:T38">
    <cfRule type="cellIs" priority="18" dxfId="93" operator="equal" stopIfTrue="1">
      <formula>$S$29</formula>
    </cfRule>
  </conditionalFormatting>
  <conditionalFormatting sqref="S39">
    <cfRule type="cellIs" priority="19" dxfId="80" operator="equal" stopIfTrue="1">
      <formula>$S$29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C39"/>
  <sheetViews>
    <sheetView showGridLines="0" zoomScalePageLayoutView="0" workbookViewId="0" topLeftCell="A22">
      <selection activeCell="E5" sqref="E5:G5"/>
    </sheetView>
  </sheetViews>
  <sheetFormatPr defaultColWidth="9.140625" defaultRowHeight="12.75"/>
  <cols>
    <col min="1" max="2" width="6.7109375" style="2" customWidth="1"/>
    <col min="3" max="3" width="1.7109375" style="2" customWidth="1"/>
    <col min="4" max="5" width="6.7109375" style="2" customWidth="1"/>
    <col min="6" max="6" width="1.7109375" style="2" customWidth="1"/>
    <col min="7" max="8" width="6.7109375" style="2" customWidth="1"/>
    <col min="9" max="9" width="1.7109375" style="2" customWidth="1"/>
    <col min="10" max="11" width="6.7109375" style="2" customWidth="1"/>
    <col min="12" max="12" width="1.7109375" style="2" customWidth="1"/>
    <col min="13" max="13" width="6.7109375" style="2" customWidth="1"/>
    <col min="14" max="14" width="9.140625" style="1" customWidth="1"/>
    <col min="17" max="17" width="15.7109375" style="164" customWidth="1"/>
    <col min="18" max="18" width="3.7109375" style="164" customWidth="1"/>
    <col min="19" max="20" width="2.7109375" style="2" customWidth="1"/>
    <col min="21" max="21" width="15.7109375" style="164" customWidth="1"/>
    <col min="22" max="22" width="3.7109375" style="2" customWidth="1"/>
    <col min="23" max="24" width="2.7109375" style="2" customWidth="1"/>
    <col min="25" max="25" width="15.7109375" style="164" customWidth="1"/>
    <col min="26" max="26" width="3.7109375" style="2" customWidth="1"/>
    <col min="27" max="27" width="15.7109375" style="1" customWidth="1"/>
    <col min="28" max="28" width="9.140625" style="1" customWidth="1"/>
    <col min="29" max="29" width="9.140625" style="62" hidden="1" customWidth="1"/>
  </cols>
  <sheetData>
    <row r="1" spans="1:27" ht="33.75">
      <c r="A1" s="215" t="s">
        <v>133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Q1" s="215" t="s">
        <v>148</v>
      </c>
      <c r="R1" s="215"/>
      <c r="S1" s="215"/>
      <c r="T1" s="215"/>
      <c r="U1" s="215"/>
      <c r="V1" s="215"/>
      <c r="W1" s="215"/>
      <c r="X1" s="215"/>
      <c r="Y1" s="215"/>
      <c r="Z1" s="215"/>
      <c r="AA1" s="163"/>
    </row>
    <row r="2" spans="1:13" ht="15.75" customHeight="1">
      <c r="A2" s="279" t="s">
        <v>140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7:18" ht="15.75" customHeight="1" thickBot="1">
      <c r="Q3" s="285" t="s">
        <v>141</v>
      </c>
      <c r="R3" s="285"/>
    </row>
    <row r="4" spans="1:29" s="6" customFormat="1" ht="19.5" customHeight="1">
      <c r="A4" s="3"/>
      <c r="B4" s="3"/>
      <c r="C4" s="3"/>
      <c r="D4" s="229" t="s">
        <v>4</v>
      </c>
      <c r="E4" s="230"/>
      <c r="F4" s="230"/>
      <c r="G4" s="231"/>
      <c r="H4" s="3"/>
      <c r="I4" s="3"/>
      <c r="J4" s="229" t="s">
        <v>4</v>
      </c>
      <c r="K4" s="230"/>
      <c r="L4" s="230"/>
      <c r="M4" s="231"/>
      <c r="N4" s="3"/>
      <c r="Q4" s="165">
        <f>IF(E11="","",E11)</f>
      </c>
      <c r="R4" s="166">
        <f>IF(K11="","",K11)</f>
      </c>
      <c r="S4" s="167"/>
      <c r="T4" s="29"/>
      <c r="U4" s="145"/>
      <c r="V4" s="29"/>
      <c r="W4" s="29"/>
      <c r="X4" s="29"/>
      <c r="Y4" s="145"/>
      <c r="Z4" s="29"/>
      <c r="AA4" s="3"/>
      <c r="AB4" s="3"/>
      <c r="AC4" s="61">
        <f>IF(R5="",1,IF(R4=R5,1,IF(R4&gt;R5,Q4,Q5)))</f>
        <v>1</v>
      </c>
    </row>
    <row r="5" spans="1:29" s="6" customFormat="1" ht="19.5" customHeight="1" thickBot="1">
      <c r="A5" s="3"/>
      <c r="B5" s="3"/>
      <c r="C5" s="3"/>
      <c r="D5" s="125">
        <v>1</v>
      </c>
      <c r="E5" s="222"/>
      <c r="F5" s="222"/>
      <c r="G5" s="223"/>
      <c r="H5" s="3"/>
      <c r="I5" s="3"/>
      <c r="J5" s="125">
        <v>5</v>
      </c>
      <c r="K5" s="222"/>
      <c r="L5" s="222"/>
      <c r="M5" s="223"/>
      <c r="N5" s="3"/>
      <c r="Q5" s="168">
        <f>IF(H11="","",H11)</f>
      </c>
      <c r="R5" s="169">
        <f>IF(M11="","",M11)</f>
      </c>
      <c r="S5" s="29"/>
      <c r="T5" s="170"/>
      <c r="U5" s="282" t="s">
        <v>144</v>
      </c>
      <c r="V5" s="282"/>
      <c r="W5" s="29"/>
      <c r="X5" s="29"/>
      <c r="Y5" s="145"/>
      <c r="Z5" s="29"/>
      <c r="AA5" s="3"/>
      <c r="AB5" s="3"/>
      <c r="AC5" s="61"/>
    </row>
    <row r="6" spans="1:29" s="6" customFormat="1" ht="19.5" customHeight="1">
      <c r="A6" s="3"/>
      <c r="B6" s="3"/>
      <c r="C6" s="3"/>
      <c r="D6" s="125">
        <v>2</v>
      </c>
      <c r="E6" s="222"/>
      <c r="F6" s="222"/>
      <c r="G6" s="223"/>
      <c r="H6" s="3"/>
      <c r="I6" s="3"/>
      <c r="J6" s="125">
        <v>6</v>
      </c>
      <c r="K6" s="222"/>
      <c r="L6" s="222"/>
      <c r="M6" s="223"/>
      <c r="N6" s="3"/>
      <c r="Q6" s="145"/>
      <c r="R6" s="145"/>
      <c r="S6" s="29"/>
      <c r="T6" s="171"/>
      <c r="U6" s="165">
        <f>IF(E17="","",E17)</f>
      </c>
      <c r="V6" s="166">
        <f>IF(K17="","",K17)</f>
      </c>
      <c r="W6" s="167"/>
      <c r="X6" s="29"/>
      <c r="Y6" s="145"/>
      <c r="Z6" s="29"/>
      <c r="AA6" s="3"/>
      <c r="AB6" s="3"/>
      <c r="AC6" s="61">
        <f>IF(V7="",1,IF(V6=V7,1,IF(V6&gt;V7,U6,U7)))</f>
        <v>1</v>
      </c>
    </row>
    <row r="7" spans="1:29" s="6" customFormat="1" ht="19.5" customHeight="1" thickBot="1">
      <c r="A7" s="3"/>
      <c r="B7" s="3"/>
      <c r="C7" s="3"/>
      <c r="D7" s="125">
        <v>3</v>
      </c>
      <c r="E7" s="222"/>
      <c r="F7" s="222"/>
      <c r="G7" s="223"/>
      <c r="H7" s="3"/>
      <c r="I7" s="3"/>
      <c r="J7" s="125">
        <v>7</v>
      </c>
      <c r="K7" s="222"/>
      <c r="L7" s="222"/>
      <c r="M7" s="223"/>
      <c r="N7" s="3"/>
      <c r="Q7" s="145"/>
      <c r="R7" s="145"/>
      <c r="S7" s="29"/>
      <c r="T7" s="170"/>
      <c r="U7" s="168">
        <f>IF(H17="","",H17)</f>
      </c>
      <c r="V7" s="169">
        <f>IF(M17="","",M17)</f>
      </c>
      <c r="W7" s="29"/>
      <c r="X7" s="170"/>
      <c r="Y7" s="145"/>
      <c r="Z7" s="29"/>
      <c r="AA7" s="3"/>
      <c r="AB7" s="3"/>
      <c r="AC7" s="61"/>
    </row>
    <row r="8" spans="1:29" s="6" customFormat="1" ht="19.5" customHeight="1" thickBot="1">
      <c r="A8" s="3"/>
      <c r="B8" s="3"/>
      <c r="C8" s="3"/>
      <c r="D8" s="138">
        <v>4</v>
      </c>
      <c r="E8" s="238"/>
      <c r="F8" s="238"/>
      <c r="G8" s="239"/>
      <c r="H8" s="3"/>
      <c r="I8" s="3"/>
      <c r="J8" s="138">
        <v>8</v>
      </c>
      <c r="K8" s="238"/>
      <c r="L8" s="238"/>
      <c r="M8" s="239"/>
      <c r="N8" s="3"/>
      <c r="Q8" s="165">
        <f>IF(E12="","",E12)</f>
      </c>
      <c r="R8" s="166">
        <f>IF(K12="","",K12)</f>
      </c>
      <c r="S8" s="167"/>
      <c r="T8" s="170"/>
      <c r="U8" s="145"/>
      <c r="V8" s="29"/>
      <c r="W8" s="29"/>
      <c r="X8" s="170"/>
      <c r="Y8" s="145"/>
      <c r="Z8" s="29"/>
      <c r="AA8" s="3"/>
      <c r="AB8" s="3"/>
      <c r="AC8" s="61">
        <f>IF(R9="",1,IF(R8=R9,1,IF(R8&gt;R9,Q8,Q9)))</f>
        <v>1</v>
      </c>
    </row>
    <row r="9" spans="17:29" ht="19.5" customHeight="1" thickBot="1">
      <c r="Q9" s="168">
        <f>IF(H12="","",H12)</f>
      </c>
      <c r="R9" s="169">
        <f>IF(M12="","",M12)</f>
      </c>
      <c r="S9" s="29"/>
      <c r="X9" s="172"/>
      <c r="Y9" s="286" t="s">
        <v>142</v>
      </c>
      <c r="Z9" s="286"/>
      <c r="AC9" s="61"/>
    </row>
    <row r="10" spans="1:29" s="6" customFormat="1" ht="19.5" customHeight="1">
      <c r="A10" s="29"/>
      <c r="B10" s="229" t="s">
        <v>130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1"/>
      <c r="N10" s="3"/>
      <c r="Q10" s="145"/>
      <c r="R10" s="145"/>
      <c r="S10" s="29"/>
      <c r="T10" s="29"/>
      <c r="U10" s="145"/>
      <c r="V10" s="29"/>
      <c r="W10" s="29"/>
      <c r="X10" s="171"/>
      <c r="Y10" s="165">
        <f>IF(E26="","",E26)</f>
      </c>
      <c r="Z10" s="166">
        <f>IF(K26="","",K26)</f>
      </c>
      <c r="AA10" s="173"/>
      <c r="AB10" s="3"/>
      <c r="AC10" s="61">
        <f>IF(Z11="",1,IF(Z10=Z11,1,IF(Z10&gt;Z11,Y10,Y11)))</f>
        <v>1</v>
      </c>
    </row>
    <row r="11" spans="1:29" s="6" customFormat="1" ht="19.5" customHeight="1" thickBot="1">
      <c r="A11" s="47"/>
      <c r="B11" s="99" t="s">
        <v>27</v>
      </c>
      <c r="C11" s="218" t="s">
        <v>10</v>
      </c>
      <c r="D11" s="219"/>
      <c r="E11" s="224">
        <f>IF(E5="","",E5)</f>
      </c>
      <c r="F11" s="225"/>
      <c r="G11" s="226"/>
      <c r="H11" s="210">
        <f>IF(E6="","",E6)</f>
      </c>
      <c r="I11" s="210"/>
      <c r="J11" s="211"/>
      <c r="K11" s="30"/>
      <c r="L11" s="14" t="s">
        <v>0</v>
      </c>
      <c r="M11" s="31"/>
      <c r="N11" s="3"/>
      <c r="Q11" s="145"/>
      <c r="R11" s="145"/>
      <c r="S11" s="29"/>
      <c r="T11" s="29"/>
      <c r="U11" s="145"/>
      <c r="V11" s="29"/>
      <c r="W11" s="29"/>
      <c r="X11" s="170"/>
      <c r="Y11" s="168">
        <f>IF(H26="","",H26)</f>
      </c>
      <c r="Z11" s="169">
        <f>IF(M26="","",M26)</f>
      </c>
      <c r="AA11" s="3"/>
      <c r="AB11" s="3"/>
      <c r="AC11" s="61"/>
    </row>
    <row r="12" spans="1:29" s="6" customFormat="1" ht="19.5" customHeight="1">
      <c r="A12" s="47"/>
      <c r="B12" s="99" t="s">
        <v>28</v>
      </c>
      <c r="C12" s="218" t="s">
        <v>52</v>
      </c>
      <c r="D12" s="219"/>
      <c r="E12" s="209">
        <f>IF(E7="","",E7)</f>
      </c>
      <c r="F12" s="209"/>
      <c r="G12" s="209"/>
      <c r="H12" s="210">
        <f>IF(E8="","",E8)</f>
      </c>
      <c r="I12" s="210"/>
      <c r="J12" s="211"/>
      <c r="K12" s="30"/>
      <c r="L12" s="14" t="s">
        <v>0</v>
      </c>
      <c r="M12" s="31"/>
      <c r="N12" s="3"/>
      <c r="Q12" s="165">
        <f>IF(E13="","",E13)</f>
      </c>
      <c r="R12" s="166">
        <f>IF(K13="","",K13)</f>
      </c>
      <c r="S12" s="167"/>
      <c r="T12" s="29"/>
      <c r="U12" s="145"/>
      <c r="V12" s="29"/>
      <c r="W12" s="29"/>
      <c r="X12" s="170"/>
      <c r="Y12" s="173"/>
      <c r="Z12" s="173"/>
      <c r="AA12" s="3"/>
      <c r="AB12" s="3"/>
      <c r="AC12" s="61">
        <f>IF(R13="",1,IF(R12=R13,1,IF(R12&gt;R13,Q12,Q13)))</f>
        <v>1</v>
      </c>
    </row>
    <row r="13" spans="1:29" s="6" customFormat="1" ht="19.5" customHeight="1" thickBot="1">
      <c r="A13" s="47"/>
      <c r="B13" s="99" t="s">
        <v>29</v>
      </c>
      <c r="C13" s="218" t="s">
        <v>87</v>
      </c>
      <c r="D13" s="219"/>
      <c r="E13" s="209">
        <f>IF(K5="","",K5)</f>
      </c>
      <c r="F13" s="209"/>
      <c r="G13" s="209"/>
      <c r="H13" s="210">
        <f>IF(K6="","",K6)</f>
      </c>
      <c r="I13" s="210"/>
      <c r="J13" s="211"/>
      <c r="K13" s="30"/>
      <c r="L13" s="14" t="s">
        <v>0</v>
      </c>
      <c r="M13" s="31"/>
      <c r="N13" s="3"/>
      <c r="Q13" s="168">
        <f>IF(H13="","",H13)</f>
      </c>
      <c r="R13" s="169">
        <f>IF(M13="","",M13)</f>
      </c>
      <c r="S13" s="29"/>
      <c r="T13" s="170"/>
      <c r="U13" s="145"/>
      <c r="V13" s="29"/>
      <c r="W13" s="29"/>
      <c r="X13" s="170"/>
      <c r="Y13" s="282" t="s">
        <v>143</v>
      </c>
      <c r="Z13" s="282"/>
      <c r="AA13" s="173"/>
      <c r="AB13" s="3"/>
      <c r="AC13" s="61">
        <f>IF(Z15="",1,IF(Z14=Z15,1,IF(Z14&gt;Z15,Y14,Y15)))</f>
        <v>1</v>
      </c>
    </row>
    <row r="14" spans="1:29" s="6" customFormat="1" ht="19.5" customHeight="1" thickBot="1">
      <c r="A14" s="47"/>
      <c r="B14" s="101" t="s">
        <v>31</v>
      </c>
      <c r="C14" s="250" t="s">
        <v>123</v>
      </c>
      <c r="D14" s="251"/>
      <c r="E14" s="235">
        <f>IF(K7="","",K7)</f>
      </c>
      <c r="F14" s="235"/>
      <c r="G14" s="235"/>
      <c r="H14" s="248">
        <f>IF(K8="","",K8)</f>
      </c>
      <c r="I14" s="248"/>
      <c r="J14" s="249"/>
      <c r="K14" s="50"/>
      <c r="L14" s="43" t="s">
        <v>0</v>
      </c>
      <c r="M14" s="44"/>
      <c r="N14" s="3"/>
      <c r="Q14" s="145"/>
      <c r="R14" s="145"/>
      <c r="S14" s="29"/>
      <c r="T14" s="171"/>
      <c r="U14" s="165">
        <f>IF(E18="","",E18)</f>
      </c>
      <c r="V14" s="166">
        <f>IF(K18="","",K18)</f>
      </c>
      <c r="W14" s="167"/>
      <c r="X14" s="170"/>
      <c r="Y14" s="165">
        <f>IF(E25="","",E25)</f>
      </c>
      <c r="Z14" s="166">
        <f>IF(K25="","",K25)</f>
      </c>
      <c r="AA14" s="3"/>
      <c r="AB14" s="3"/>
      <c r="AC14" s="61">
        <f>IF(V15="",1,IF(V14=V15,1,IF(V14&gt;V15,U14,U15)))</f>
        <v>1</v>
      </c>
    </row>
    <row r="15" spans="1:29" ht="19.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T15" s="172"/>
      <c r="U15" s="168">
        <f>IF(H18="","",H18)</f>
      </c>
      <c r="V15" s="169">
        <f>IF(M18="","",M18)</f>
      </c>
      <c r="Y15" s="168">
        <f>IF(H25="","",H25)</f>
      </c>
      <c r="Z15" s="169">
        <f>IF(M25="","",M25)</f>
      </c>
      <c r="AC15" s="61"/>
    </row>
    <row r="16" spans="1:29" s="6" customFormat="1" ht="19.5" customHeight="1">
      <c r="A16" s="29"/>
      <c r="B16" s="229" t="s">
        <v>131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1"/>
      <c r="N16" s="3"/>
      <c r="Q16" s="165">
        <f>IF(E14="","",E14)</f>
      </c>
      <c r="R16" s="166">
        <f>IF(K14="","",K14)</f>
      </c>
      <c r="S16" s="167"/>
      <c r="T16" s="170"/>
      <c r="U16" s="145"/>
      <c r="V16" s="29"/>
      <c r="W16" s="29"/>
      <c r="X16" s="29"/>
      <c r="Y16" s="3"/>
      <c r="Z16" s="3"/>
      <c r="AA16" s="3"/>
      <c r="AB16" s="3"/>
      <c r="AC16" s="61">
        <f>IF(R17="",1,IF(R16=R17,1,IF(R16&gt;R17,Q16,Q17)))</f>
        <v>1</v>
      </c>
    </row>
    <row r="17" spans="1:29" s="6" customFormat="1" ht="19.5" customHeight="1" thickBot="1">
      <c r="A17" s="47"/>
      <c r="B17" s="99" t="s">
        <v>32</v>
      </c>
      <c r="C17" s="218" t="s">
        <v>124</v>
      </c>
      <c r="D17" s="219"/>
      <c r="E17" s="224">
        <f>IF(M11="","",IF(K11&gt;M11,E11,H11))</f>
      </c>
      <c r="F17" s="225"/>
      <c r="G17" s="226"/>
      <c r="H17" s="210">
        <f>IF(M12="","",IF(K12&gt;M12,E12,H12))</f>
      </c>
      <c r="I17" s="210"/>
      <c r="J17" s="211"/>
      <c r="K17" s="30"/>
      <c r="L17" s="14" t="s">
        <v>0</v>
      </c>
      <c r="M17" s="31"/>
      <c r="N17" s="3"/>
      <c r="Q17" s="168">
        <f>IF(H14="","",H14)</f>
      </c>
      <c r="R17" s="169">
        <f>IF(M14="","",M14)</f>
      </c>
      <c r="S17" s="29"/>
      <c r="T17" s="29"/>
      <c r="U17" s="145"/>
      <c r="V17" s="29"/>
      <c r="W17" s="29"/>
      <c r="X17" s="29"/>
      <c r="Y17" s="145"/>
      <c r="Z17" s="29"/>
      <c r="AA17" s="3"/>
      <c r="AB17" s="3"/>
      <c r="AC17" s="61"/>
    </row>
    <row r="18" spans="1:29" s="6" customFormat="1" ht="19.5" customHeight="1">
      <c r="A18" s="47"/>
      <c r="B18" s="99" t="s">
        <v>33</v>
      </c>
      <c r="C18" s="218" t="s">
        <v>125</v>
      </c>
      <c r="D18" s="219"/>
      <c r="E18" s="209">
        <f>IF(M13="","",IF(K13&gt;M13,E13,H13))</f>
      </c>
      <c r="F18" s="209"/>
      <c r="G18" s="209"/>
      <c r="H18" s="210">
        <f>IF(M14="","",IF(K14&gt;M14,E14,H14))</f>
      </c>
      <c r="I18" s="210"/>
      <c r="J18" s="211"/>
      <c r="K18" s="30"/>
      <c r="L18" s="14" t="s">
        <v>0</v>
      </c>
      <c r="M18" s="31"/>
      <c r="N18" s="3"/>
      <c r="Q18" s="145"/>
      <c r="R18" s="145"/>
      <c r="S18" s="29"/>
      <c r="T18" s="29"/>
      <c r="U18" s="84"/>
      <c r="V18" s="3"/>
      <c r="W18" s="3"/>
      <c r="X18" s="3"/>
      <c r="Y18" s="84"/>
      <c r="Z18" s="3"/>
      <c r="AA18" s="3"/>
      <c r="AB18" s="3"/>
      <c r="AC18" s="61"/>
    </row>
    <row r="19" spans="1:29" s="6" customFormat="1" ht="19.5" customHeight="1" thickBot="1">
      <c r="A19" s="47"/>
      <c r="B19" s="99" t="s">
        <v>37</v>
      </c>
      <c r="C19" s="218" t="s">
        <v>126</v>
      </c>
      <c r="D19" s="219"/>
      <c r="E19" s="209">
        <f>IF(M11="","",IF(K11&gt;M11,H11,E11))</f>
      </c>
      <c r="F19" s="209"/>
      <c r="G19" s="209"/>
      <c r="H19" s="210">
        <f>IF(M12="","",IF(K12&gt;M12,H12,E12))</f>
      </c>
      <c r="I19" s="210"/>
      <c r="J19" s="211"/>
      <c r="K19" s="30"/>
      <c r="L19" s="14" t="s">
        <v>0</v>
      </c>
      <c r="M19" s="31"/>
      <c r="N19" s="3"/>
      <c r="Q19" s="145"/>
      <c r="R19" s="145"/>
      <c r="S19" s="29"/>
      <c r="T19" s="29"/>
      <c r="U19" s="282" t="s">
        <v>145</v>
      </c>
      <c r="V19" s="282"/>
      <c r="W19" s="3"/>
      <c r="X19" s="3"/>
      <c r="Y19" s="84"/>
      <c r="Z19" s="3"/>
      <c r="AA19" s="3"/>
      <c r="AB19" s="3"/>
      <c r="AC19" s="61"/>
    </row>
    <row r="20" spans="1:29" s="6" customFormat="1" ht="19.5" customHeight="1" thickBot="1">
      <c r="A20" s="47"/>
      <c r="B20" s="101" t="s">
        <v>38</v>
      </c>
      <c r="C20" s="250" t="s">
        <v>127</v>
      </c>
      <c r="D20" s="251"/>
      <c r="E20" s="235">
        <f>IF(M13="","",IF(K13&gt;M13,H13,E13))</f>
      </c>
      <c r="F20" s="235"/>
      <c r="G20" s="235"/>
      <c r="H20" s="248">
        <f>IF(M14="","",IF(K14&gt;M14,H14,E14))</f>
      </c>
      <c r="I20" s="248"/>
      <c r="J20" s="249"/>
      <c r="K20" s="50"/>
      <c r="L20" s="43" t="s">
        <v>0</v>
      </c>
      <c r="M20" s="44"/>
      <c r="N20" s="3"/>
      <c r="Q20" s="145"/>
      <c r="R20" s="145"/>
      <c r="S20" s="29"/>
      <c r="T20" s="29"/>
      <c r="U20" s="165">
        <f>IF(E19="","",E19)</f>
      </c>
      <c r="V20" s="166">
        <f>IF(K19="","",K19)</f>
      </c>
      <c r="W20" s="167"/>
      <c r="X20" s="29"/>
      <c r="Y20" s="145"/>
      <c r="Z20" s="29"/>
      <c r="AA20" s="3"/>
      <c r="AB20" s="3"/>
      <c r="AC20" s="61">
        <f>IF(V21="",1,IF(V20=V21,1,IF(V20&gt;V21,U20,U21)))</f>
        <v>1</v>
      </c>
    </row>
    <row r="21" spans="1:29" ht="19.5" customHeight="1" thickBot="1">
      <c r="A21" s="29"/>
      <c r="B21" s="29"/>
      <c r="C21" s="29"/>
      <c r="H21" s="29"/>
      <c r="I21" s="29"/>
      <c r="J21" s="29"/>
      <c r="K21" s="29"/>
      <c r="L21" s="29"/>
      <c r="M21" s="29"/>
      <c r="U21" s="168">
        <f>IF(H19="","",H19)</f>
      </c>
      <c r="V21" s="169">
        <f>IF(M19="","",M19)</f>
      </c>
      <c r="W21" s="29"/>
      <c r="X21" s="170"/>
      <c r="Y21" s="145"/>
      <c r="Z21" s="29"/>
      <c r="AC21" s="61"/>
    </row>
    <row r="22" spans="1:29" s="6" customFormat="1" ht="19.5" customHeight="1">
      <c r="A22" s="29"/>
      <c r="B22" s="229" t="s">
        <v>132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1"/>
      <c r="N22" s="3"/>
      <c r="Q22" s="145"/>
      <c r="R22" s="145"/>
      <c r="S22" s="29"/>
      <c r="T22" s="29"/>
      <c r="U22" s="145"/>
      <c r="V22" s="29"/>
      <c r="W22" s="29"/>
      <c r="X22" s="170"/>
      <c r="Y22" s="145"/>
      <c r="Z22" s="29"/>
      <c r="AA22" s="3"/>
      <c r="AB22" s="3"/>
      <c r="AC22" s="61"/>
    </row>
    <row r="23" spans="1:29" s="6" customFormat="1" ht="19.5" customHeight="1" thickBot="1">
      <c r="A23" s="47"/>
      <c r="B23" s="99" t="s">
        <v>39</v>
      </c>
      <c r="C23" s="218" t="s">
        <v>128</v>
      </c>
      <c r="D23" s="219"/>
      <c r="E23" s="224">
        <f>IF(M19="","",IF(K19&gt;M19,H19,E19))</f>
      </c>
      <c r="F23" s="225"/>
      <c r="G23" s="226"/>
      <c r="H23" s="210">
        <f>IF(M20="","",IF(K20&gt;M20,H20,E20))</f>
      </c>
      <c r="I23" s="210"/>
      <c r="J23" s="211"/>
      <c r="K23" s="30"/>
      <c r="L23" s="14" t="s">
        <v>0</v>
      </c>
      <c r="M23" s="31"/>
      <c r="N23" s="3"/>
      <c r="Q23" s="145"/>
      <c r="R23" s="145"/>
      <c r="S23" s="29"/>
      <c r="T23" s="29"/>
      <c r="U23" s="164"/>
      <c r="V23" s="2"/>
      <c r="W23" s="2"/>
      <c r="X23" s="172"/>
      <c r="Y23" s="285" t="s">
        <v>146</v>
      </c>
      <c r="Z23" s="285"/>
      <c r="AA23" s="3"/>
      <c r="AB23" s="3"/>
      <c r="AC23" s="61"/>
    </row>
    <row r="24" spans="1:29" s="6" customFormat="1" ht="19.5" customHeight="1">
      <c r="A24" s="47"/>
      <c r="B24" s="99" t="s">
        <v>44</v>
      </c>
      <c r="C24" s="218" t="s">
        <v>129</v>
      </c>
      <c r="D24" s="219"/>
      <c r="E24" s="209">
        <f>IF(M19="","",IF(K19&gt;M19,E19,H19))</f>
      </c>
      <c r="F24" s="209"/>
      <c r="G24" s="209"/>
      <c r="H24" s="210">
        <f>IF(M20="","",IF(K20&gt;M20,E20,H20))</f>
      </c>
      <c r="I24" s="210"/>
      <c r="J24" s="211"/>
      <c r="K24" s="30"/>
      <c r="L24" s="14" t="s">
        <v>0</v>
      </c>
      <c r="M24" s="31"/>
      <c r="N24" s="3"/>
      <c r="Q24" s="145"/>
      <c r="R24" s="145"/>
      <c r="S24" s="29"/>
      <c r="T24" s="29"/>
      <c r="U24" s="145"/>
      <c r="V24" s="29"/>
      <c r="W24" s="29"/>
      <c r="X24" s="171"/>
      <c r="Y24" s="165">
        <f>IF(E24="","",E24)</f>
      </c>
      <c r="Z24" s="166">
        <f>IF(K24="","",K24)</f>
      </c>
      <c r="AA24" s="173"/>
      <c r="AB24" s="3"/>
      <c r="AC24" s="61">
        <f>IF(Z25="",1,IF(Z24=Z25,1,IF(Z24&gt;Z25,Y24,Y25)))</f>
        <v>1</v>
      </c>
    </row>
    <row r="25" spans="1:29" s="6" customFormat="1" ht="19.5" customHeight="1" thickBot="1">
      <c r="A25" s="47"/>
      <c r="B25" s="99" t="s">
        <v>45</v>
      </c>
      <c r="C25" s="218" t="s">
        <v>43</v>
      </c>
      <c r="D25" s="219"/>
      <c r="E25" s="209">
        <f>IF(M17="","",IF(K17&gt;M17,H17,E17))</f>
      </c>
      <c r="F25" s="209"/>
      <c r="G25" s="209"/>
      <c r="H25" s="210">
        <f>IF(M18="","",IF(K18&gt;M18,H18,E18))</f>
      </c>
      <c r="I25" s="210"/>
      <c r="J25" s="211"/>
      <c r="K25" s="30"/>
      <c r="L25" s="14" t="s">
        <v>0</v>
      </c>
      <c r="M25" s="31"/>
      <c r="N25" s="3"/>
      <c r="Q25" s="145"/>
      <c r="R25" s="145"/>
      <c r="S25" s="29"/>
      <c r="T25" s="29"/>
      <c r="U25" s="145"/>
      <c r="V25" s="29"/>
      <c r="W25" s="29"/>
      <c r="X25" s="170"/>
      <c r="Y25" s="168">
        <f>IF(H24="","",H24)</f>
      </c>
      <c r="Z25" s="169">
        <f>IF(M24="","",M24)</f>
      </c>
      <c r="AA25" s="3"/>
      <c r="AB25" s="3"/>
      <c r="AC25" s="61"/>
    </row>
    <row r="26" spans="1:29" s="6" customFormat="1" ht="19.5" customHeight="1" thickBot="1">
      <c r="A26" s="47"/>
      <c r="B26" s="101" t="s">
        <v>83</v>
      </c>
      <c r="C26" s="250" t="s">
        <v>46</v>
      </c>
      <c r="D26" s="251"/>
      <c r="E26" s="235">
        <f>IF(M17="","",IF(K17&gt;M17,E17,H17))</f>
      </c>
      <c r="F26" s="235"/>
      <c r="G26" s="235"/>
      <c r="H26" s="248">
        <f>IF(M18="","",IF(K18&gt;M18,E18,H18))</f>
      </c>
      <c r="I26" s="248"/>
      <c r="J26" s="249"/>
      <c r="K26" s="50"/>
      <c r="L26" s="43" t="s">
        <v>0</v>
      </c>
      <c r="M26" s="44"/>
      <c r="N26" s="3"/>
      <c r="Q26" s="145"/>
      <c r="R26" s="145"/>
      <c r="S26" s="29"/>
      <c r="T26" s="29"/>
      <c r="U26" s="145"/>
      <c r="V26" s="29"/>
      <c r="W26" s="29"/>
      <c r="X26" s="170"/>
      <c r="Y26" s="3"/>
      <c r="Z26" s="3"/>
      <c r="AA26" s="3"/>
      <c r="AB26" s="3"/>
      <c r="AC26" s="61"/>
    </row>
    <row r="27" spans="21:29" ht="19.5" customHeight="1" thickBot="1">
      <c r="U27" s="145"/>
      <c r="V27" s="29"/>
      <c r="W27" s="29"/>
      <c r="X27" s="170"/>
      <c r="Y27" s="285" t="s">
        <v>147</v>
      </c>
      <c r="Z27" s="285"/>
      <c r="AA27" s="174"/>
      <c r="AC27" s="61">
        <f>IF(Z29="",1,IF(Z28=Z29,1,IF(Z28&gt;Z29,Y28,Y29)))</f>
        <v>1</v>
      </c>
    </row>
    <row r="28" spans="4:29" ht="19.5" customHeight="1">
      <c r="D28" s="227" t="s">
        <v>112</v>
      </c>
      <c r="E28" s="212"/>
      <c r="F28" s="212"/>
      <c r="G28" s="228"/>
      <c r="U28" s="165">
        <f>IF(E20="","",E20)</f>
      </c>
      <c r="V28" s="166">
        <f>IF(K20="","",K20)</f>
      </c>
      <c r="W28" s="167"/>
      <c r="X28" s="170"/>
      <c r="Y28" s="165">
        <f>IF(E23="","",E23)</f>
      </c>
      <c r="Z28" s="166">
        <f>IF(K23="","",K23)</f>
      </c>
      <c r="AC28" s="61">
        <f>IF(V29="",1,IF(V28=V29,1,IF(V28&gt;V29,U28,U29)))</f>
        <v>1</v>
      </c>
    </row>
    <row r="29" spans="4:29" ht="19.5" customHeight="1" thickBot="1">
      <c r="D29" s="99" t="s">
        <v>27</v>
      </c>
      <c r="E29" s="210">
        <f>IF(M26="","",IF(K26&gt;M26,E26,H26))</f>
      </c>
      <c r="F29" s="210"/>
      <c r="G29" s="263"/>
      <c r="U29" s="168">
        <f>IF(H20="","",H20)</f>
      </c>
      <c r="V29" s="169">
        <f>IF(M20="","",M20)</f>
      </c>
      <c r="Y29" s="168">
        <f>IF(H23="","",H23)</f>
      </c>
      <c r="Z29" s="169">
        <f>IF(M23="","",M23)</f>
      </c>
      <c r="AC29" s="61"/>
    </row>
    <row r="30" spans="4:7" ht="19.5" customHeight="1" thickBot="1">
      <c r="D30" s="99" t="s">
        <v>28</v>
      </c>
      <c r="E30" s="210">
        <f>IF(M26="","",IF(K26&gt;M26,H26,E26))</f>
      </c>
      <c r="F30" s="210"/>
      <c r="G30" s="263"/>
    </row>
    <row r="31" spans="4:22" ht="19.5" customHeight="1">
      <c r="D31" s="99" t="s">
        <v>29</v>
      </c>
      <c r="E31" s="210">
        <f>IF(M25="","",IF(K25&gt;M25,E25,H25))</f>
      </c>
      <c r="F31" s="210"/>
      <c r="G31" s="263"/>
      <c r="S31" s="227" t="s">
        <v>112</v>
      </c>
      <c r="T31" s="212"/>
      <c r="U31" s="212"/>
      <c r="V31" s="228"/>
    </row>
    <row r="32" spans="4:22" ht="19.5" customHeight="1">
      <c r="D32" s="99" t="s">
        <v>31</v>
      </c>
      <c r="E32" s="210">
        <f>IF(M25="","",IF(K25&gt;M25,H25,E25))</f>
      </c>
      <c r="F32" s="210"/>
      <c r="G32" s="263"/>
      <c r="S32" s="289" t="s">
        <v>27</v>
      </c>
      <c r="T32" s="240"/>
      <c r="U32" s="210">
        <f aca="true" t="shared" si="0" ref="U32:U39">IF(E29="","",E29)</f>
      </c>
      <c r="V32" s="263"/>
    </row>
    <row r="33" spans="4:22" ht="19.5" customHeight="1">
      <c r="D33" s="99" t="s">
        <v>32</v>
      </c>
      <c r="E33" s="210">
        <f>IF(M24="","",IF(K24&gt;M24,E24,H24))</f>
      </c>
      <c r="F33" s="210"/>
      <c r="G33" s="263"/>
      <c r="S33" s="289" t="s">
        <v>28</v>
      </c>
      <c r="T33" s="240"/>
      <c r="U33" s="210">
        <f t="shared" si="0"/>
      </c>
      <c r="V33" s="263"/>
    </row>
    <row r="34" spans="4:22" ht="19.5" customHeight="1">
      <c r="D34" s="99" t="s">
        <v>33</v>
      </c>
      <c r="E34" s="210">
        <f>IF(M24="","",IF(K24&gt;M24,H24,E24))</f>
      </c>
      <c r="F34" s="210"/>
      <c r="G34" s="263"/>
      <c r="S34" s="289" t="s">
        <v>29</v>
      </c>
      <c r="T34" s="240"/>
      <c r="U34" s="210">
        <f t="shared" si="0"/>
      </c>
      <c r="V34" s="263"/>
    </row>
    <row r="35" spans="4:22" ht="19.5" customHeight="1">
      <c r="D35" s="99" t="s">
        <v>37</v>
      </c>
      <c r="E35" s="210">
        <f>IF(M23="","",IF(K23&gt;M23,E23,H23))</f>
      </c>
      <c r="F35" s="210"/>
      <c r="G35" s="263"/>
      <c r="S35" s="289" t="s">
        <v>31</v>
      </c>
      <c r="T35" s="240"/>
      <c r="U35" s="210">
        <f t="shared" si="0"/>
      </c>
      <c r="V35" s="263"/>
    </row>
    <row r="36" spans="4:22" ht="19.5" customHeight="1" thickBot="1">
      <c r="D36" s="102" t="s">
        <v>38</v>
      </c>
      <c r="E36" s="213">
        <f>IF(M23="","",IF(K23&gt;M23,H23,E23))</f>
      </c>
      <c r="F36" s="213"/>
      <c r="G36" s="264"/>
      <c r="S36" s="289" t="s">
        <v>32</v>
      </c>
      <c r="T36" s="240"/>
      <c r="U36" s="210">
        <f t="shared" si="0"/>
      </c>
      <c r="V36" s="263"/>
    </row>
    <row r="37" spans="19:22" ht="19.5" customHeight="1">
      <c r="S37" s="289" t="s">
        <v>33</v>
      </c>
      <c r="T37" s="240"/>
      <c r="U37" s="210">
        <f t="shared" si="0"/>
      </c>
      <c r="V37" s="263"/>
    </row>
    <row r="38" spans="19:22" ht="19.5" customHeight="1">
      <c r="S38" s="289" t="s">
        <v>37</v>
      </c>
      <c r="T38" s="240"/>
      <c r="U38" s="210">
        <f t="shared" si="0"/>
      </c>
      <c r="V38" s="263"/>
    </row>
    <row r="39" spans="19:22" ht="19.5" customHeight="1" thickBot="1">
      <c r="S39" s="290" t="s">
        <v>38</v>
      </c>
      <c r="T39" s="242"/>
      <c r="U39" s="213">
        <f t="shared" si="0"/>
      </c>
      <c r="V39" s="264"/>
    </row>
  </sheetData>
  <sheetProtection sheet="1" objects="1" scenarios="1"/>
  <mergeCells count="85">
    <mergeCell ref="Q1:Z1"/>
    <mergeCell ref="S32:T32"/>
    <mergeCell ref="S33:T33"/>
    <mergeCell ref="S31:V31"/>
    <mergeCell ref="U19:V19"/>
    <mergeCell ref="Y23:Z23"/>
    <mergeCell ref="Y27:Z27"/>
    <mergeCell ref="Y9:Z9"/>
    <mergeCell ref="Q3:R3"/>
    <mergeCell ref="U5:V5"/>
    <mergeCell ref="U36:V36"/>
    <mergeCell ref="U37:V37"/>
    <mergeCell ref="U32:V32"/>
    <mergeCell ref="U33:V33"/>
    <mergeCell ref="U38:V38"/>
    <mergeCell ref="U39:V39"/>
    <mergeCell ref="U34:V34"/>
    <mergeCell ref="U35:V35"/>
    <mergeCell ref="S34:T34"/>
    <mergeCell ref="S35:T35"/>
    <mergeCell ref="S36:T36"/>
    <mergeCell ref="S37:T37"/>
    <mergeCell ref="S38:T38"/>
    <mergeCell ref="S39:T39"/>
    <mergeCell ref="E36:G36"/>
    <mergeCell ref="E29:G29"/>
    <mergeCell ref="E30:G30"/>
    <mergeCell ref="E31:G31"/>
    <mergeCell ref="E32:G32"/>
    <mergeCell ref="E33:G33"/>
    <mergeCell ref="E34:G34"/>
    <mergeCell ref="E35:G35"/>
    <mergeCell ref="H23:J23"/>
    <mergeCell ref="B22:M22"/>
    <mergeCell ref="E14:G14"/>
    <mergeCell ref="C19:D19"/>
    <mergeCell ref="E19:G19"/>
    <mergeCell ref="Y13:Z13"/>
    <mergeCell ref="H14:J14"/>
    <mergeCell ref="C13:D13"/>
    <mergeCell ref="C12:D12"/>
    <mergeCell ref="C11:D11"/>
    <mergeCell ref="H13:J13"/>
    <mergeCell ref="K5:M5"/>
    <mergeCell ref="K7:M7"/>
    <mergeCell ref="K8:M8"/>
    <mergeCell ref="E12:G12"/>
    <mergeCell ref="H12:J12"/>
    <mergeCell ref="C24:D24"/>
    <mergeCell ref="E24:G24"/>
    <mergeCell ref="H24:J24"/>
    <mergeCell ref="D4:G4"/>
    <mergeCell ref="J4:M4"/>
    <mergeCell ref="E6:G6"/>
    <mergeCell ref="E7:G7"/>
    <mergeCell ref="C14:D14"/>
    <mergeCell ref="C23:D23"/>
    <mergeCell ref="E23:G23"/>
    <mergeCell ref="D28:G28"/>
    <mergeCell ref="C25:D25"/>
    <mergeCell ref="E25:G25"/>
    <mergeCell ref="H25:J25"/>
    <mergeCell ref="C26:D26"/>
    <mergeCell ref="E26:G26"/>
    <mergeCell ref="H26:J26"/>
    <mergeCell ref="A1:N1"/>
    <mergeCell ref="B16:M16"/>
    <mergeCell ref="C17:D17"/>
    <mergeCell ref="E17:G17"/>
    <mergeCell ref="H17:J17"/>
    <mergeCell ref="E5:G5"/>
    <mergeCell ref="A2:M2"/>
    <mergeCell ref="K6:M6"/>
    <mergeCell ref="E8:G8"/>
    <mergeCell ref="E13:G13"/>
    <mergeCell ref="C18:D18"/>
    <mergeCell ref="E18:G18"/>
    <mergeCell ref="H18:J18"/>
    <mergeCell ref="B10:M10"/>
    <mergeCell ref="H19:J19"/>
    <mergeCell ref="C20:D20"/>
    <mergeCell ref="E20:G20"/>
    <mergeCell ref="H20:J20"/>
    <mergeCell ref="E11:G11"/>
    <mergeCell ref="H11:J11"/>
  </mergeCells>
  <conditionalFormatting sqref="Y28:Y29">
    <cfRule type="cellIs" priority="1" dxfId="0" operator="equal" stopIfTrue="1">
      <formula>$AC$27</formula>
    </cfRule>
  </conditionalFormatting>
  <conditionalFormatting sqref="Y14:Y15">
    <cfRule type="cellIs" priority="2" dxfId="0" operator="equal" stopIfTrue="1">
      <formula>$AC$13</formula>
    </cfRule>
  </conditionalFormatting>
  <conditionalFormatting sqref="Q4:Q5">
    <cfRule type="cellIs" priority="3" dxfId="0" operator="equal" stopIfTrue="1">
      <formula>$AC$4</formula>
    </cfRule>
  </conditionalFormatting>
  <conditionalFormatting sqref="Q8:Q9">
    <cfRule type="cellIs" priority="4" dxfId="0" operator="equal" stopIfTrue="1">
      <formula>$AC$8</formula>
    </cfRule>
  </conditionalFormatting>
  <conditionalFormatting sqref="Q12:Q13">
    <cfRule type="cellIs" priority="5" dxfId="0" operator="equal" stopIfTrue="1">
      <formula>$AC$12</formula>
    </cfRule>
  </conditionalFormatting>
  <conditionalFormatting sqref="Q16:Q17">
    <cfRule type="cellIs" priority="6" dxfId="0" operator="equal" stopIfTrue="1">
      <formula>$AC$16</formula>
    </cfRule>
  </conditionalFormatting>
  <conditionalFormatting sqref="U6:U7">
    <cfRule type="cellIs" priority="7" dxfId="0" operator="equal" stopIfTrue="1">
      <formula>$AC$6</formula>
    </cfRule>
  </conditionalFormatting>
  <conditionalFormatting sqref="U14:U15">
    <cfRule type="cellIs" priority="8" dxfId="0" operator="equal" stopIfTrue="1">
      <formula>$AC$14</formula>
    </cfRule>
  </conditionalFormatting>
  <conditionalFormatting sqref="U20:U21">
    <cfRule type="cellIs" priority="9" dxfId="0" operator="equal" stopIfTrue="1">
      <formula>$AC$20</formula>
    </cfRule>
  </conditionalFormatting>
  <conditionalFormatting sqref="U28:U29">
    <cfRule type="cellIs" priority="10" dxfId="0" operator="equal" stopIfTrue="1">
      <formula>$AC$28</formula>
    </cfRule>
  </conditionalFormatting>
  <conditionalFormatting sqref="Y10:Y11">
    <cfRule type="cellIs" priority="11" dxfId="0" operator="equal" stopIfTrue="1">
      <formula>$AC$10</formula>
    </cfRule>
  </conditionalFormatting>
  <conditionalFormatting sqref="Y24:Y25">
    <cfRule type="cellIs" priority="12" dxfId="0" operator="equal" stopIfTrue="1">
      <formula>$AC$24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R73"/>
  <sheetViews>
    <sheetView showGridLines="0" zoomScalePageLayoutView="0" workbookViewId="0" topLeftCell="A1">
      <selection activeCell="E5" sqref="E5:G5"/>
    </sheetView>
  </sheetViews>
  <sheetFormatPr defaultColWidth="9.140625" defaultRowHeight="12.75"/>
  <cols>
    <col min="1" max="1" width="0.85546875" style="1" customWidth="1"/>
    <col min="2" max="2" width="6.7109375" style="3" customWidth="1"/>
    <col min="3" max="3" width="1.7109375" style="3" customWidth="1"/>
    <col min="4" max="5" width="6.7109375" style="29" customWidth="1"/>
    <col min="6" max="6" width="1.7109375" style="29" customWidth="1"/>
    <col min="7" max="8" width="6.7109375" style="29" customWidth="1"/>
    <col min="9" max="9" width="1.7109375" style="29" customWidth="1"/>
    <col min="10" max="11" width="6.7109375" style="29" customWidth="1"/>
    <col min="12" max="12" width="1.7109375" style="29" customWidth="1"/>
    <col min="13" max="13" width="6.7109375" style="29" customWidth="1"/>
    <col min="14" max="14" width="4.7109375" style="29" customWidth="1"/>
    <col min="15" max="15" width="1.7109375" style="29" customWidth="1"/>
    <col min="16" max="16" width="4.7109375" style="29" customWidth="1"/>
    <col min="17" max="18" width="6.7109375" style="29" customWidth="1"/>
  </cols>
  <sheetData>
    <row r="1" spans="4:18" ht="33.75">
      <c r="D1" s="254" t="s">
        <v>94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4:18" ht="15.75">
      <c r="D2" s="265" t="s">
        <v>139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ht="16.5" thickBot="1"/>
    <row r="4" spans="1:18" s="6" customFormat="1" ht="19.5" customHeight="1">
      <c r="A4" s="3"/>
      <c r="B4" s="3"/>
      <c r="C4" s="3"/>
      <c r="D4" s="229" t="s">
        <v>4</v>
      </c>
      <c r="E4" s="230"/>
      <c r="F4" s="230"/>
      <c r="G4" s="231"/>
      <c r="H4" s="147"/>
      <c r="J4" s="229" t="s">
        <v>4</v>
      </c>
      <c r="K4" s="230"/>
      <c r="L4" s="230"/>
      <c r="M4" s="231"/>
      <c r="O4" s="227" t="s">
        <v>5</v>
      </c>
      <c r="P4" s="212"/>
      <c r="Q4" s="212"/>
      <c r="R4" s="228"/>
    </row>
    <row r="5" spans="1:18" s="6" customFormat="1" ht="19.5" customHeight="1">
      <c r="A5" s="3"/>
      <c r="B5" s="3"/>
      <c r="C5" s="3"/>
      <c r="D5" s="125" t="s">
        <v>15</v>
      </c>
      <c r="E5" s="222"/>
      <c r="F5" s="222"/>
      <c r="G5" s="223"/>
      <c r="J5" s="125" t="s">
        <v>95</v>
      </c>
      <c r="K5" s="222"/>
      <c r="L5" s="222"/>
      <c r="M5" s="223"/>
      <c r="O5" s="220" t="s">
        <v>6</v>
      </c>
      <c r="P5" s="221"/>
      <c r="Q5" s="221"/>
      <c r="R5" s="161">
        <v>3</v>
      </c>
    </row>
    <row r="6" spans="1:18" s="6" customFormat="1" ht="19.5" customHeight="1">
      <c r="A6" s="3"/>
      <c r="B6" s="3"/>
      <c r="C6" s="3"/>
      <c r="D6" s="125" t="s">
        <v>16</v>
      </c>
      <c r="E6" s="222"/>
      <c r="F6" s="222"/>
      <c r="G6" s="223"/>
      <c r="J6" s="125" t="s">
        <v>96</v>
      </c>
      <c r="K6" s="222"/>
      <c r="L6" s="222"/>
      <c r="M6" s="223"/>
      <c r="O6" s="220" t="s">
        <v>7</v>
      </c>
      <c r="P6" s="221"/>
      <c r="Q6" s="221"/>
      <c r="R6" s="161">
        <v>1</v>
      </c>
    </row>
    <row r="7" spans="1:18" s="6" customFormat="1" ht="19.5" customHeight="1" thickBot="1">
      <c r="A7" s="3"/>
      <c r="B7" s="3"/>
      <c r="C7" s="3"/>
      <c r="D7" s="138" t="s">
        <v>18</v>
      </c>
      <c r="E7" s="207"/>
      <c r="F7" s="207"/>
      <c r="G7" s="208"/>
      <c r="J7" s="138" t="s">
        <v>97</v>
      </c>
      <c r="K7" s="207"/>
      <c r="L7" s="207"/>
      <c r="M7" s="208"/>
      <c r="O7" s="205" t="s">
        <v>8</v>
      </c>
      <c r="P7" s="206"/>
      <c r="Q7" s="206"/>
      <c r="R7" s="162">
        <v>0</v>
      </c>
    </row>
    <row r="8" spans="1:17" s="6" customFormat="1" ht="19.5" customHeight="1">
      <c r="A8" s="3"/>
      <c r="B8" s="3"/>
      <c r="C8" s="3"/>
      <c r="D8" s="146" t="s">
        <v>17</v>
      </c>
      <c r="E8" s="255"/>
      <c r="F8" s="255"/>
      <c r="G8" s="256"/>
      <c r="J8" s="29"/>
      <c r="K8" s="29"/>
      <c r="L8" s="38"/>
      <c r="M8" s="38"/>
      <c r="N8" s="38"/>
      <c r="O8" s="37"/>
      <c r="P8" s="29"/>
      <c r="Q8" s="29"/>
    </row>
    <row r="9" spans="1:17" s="6" customFormat="1" ht="19.5" customHeight="1">
      <c r="A9" s="3"/>
      <c r="B9" s="3"/>
      <c r="C9" s="3"/>
      <c r="D9" s="125" t="s">
        <v>19</v>
      </c>
      <c r="E9" s="222"/>
      <c r="F9" s="222"/>
      <c r="G9" s="223"/>
      <c r="J9" s="29"/>
      <c r="K9" s="29"/>
      <c r="L9" s="38"/>
      <c r="M9" s="38"/>
      <c r="N9" s="38"/>
      <c r="O9" s="37"/>
      <c r="P9" s="29"/>
      <c r="Q9" s="29"/>
    </row>
    <row r="10" spans="1:17" s="6" customFormat="1" ht="19.5" customHeight="1" thickBot="1">
      <c r="A10" s="3"/>
      <c r="B10" s="3"/>
      <c r="C10" s="3"/>
      <c r="D10" s="138" t="s">
        <v>20</v>
      </c>
      <c r="E10" s="207"/>
      <c r="F10" s="207"/>
      <c r="G10" s="208"/>
      <c r="J10" s="29"/>
      <c r="K10" s="29"/>
      <c r="L10" s="38"/>
      <c r="M10" s="38"/>
      <c r="N10" s="38"/>
      <c r="O10" s="37"/>
      <c r="P10" s="29"/>
      <c r="Q10" s="29"/>
    </row>
    <row r="11" ht="19.5" customHeight="1" thickBot="1"/>
    <row r="12" spans="1:18" s="6" customFormat="1" ht="19.5" customHeight="1">
      <c r="A12" s="3"/>
      <c r="B12" s="3"/>
      <c r="C12" s="3"/>
      <c r="D12" s="29"/>
      <c r="E12" s="229" t="s">
        <v>35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1"/>
      <c r="Q12" s="29"/>
      <c r="R12" s="29"/>
    </row>
    <row r="13" spans="1:18" s="6" customFormat="1" ht="19.5" customHeight="1">
      <c r="A13" s="3"/>
      <c r="B13" s="3"/>
      <c r="C13" s="3"/>
      <c r="D13" s="47" t="e">
        <f>RANK(Q24,$Q$24:$Q$26)</f>
        <v>#VALUE!</v>
      </c>
      <c r="E13" s="99" t="s">
        <v>27</v>
      </c>
      <c r="F13" s="219" t="s">
        <v>21</v>
      </c>
      <c r="G13" s="219"/>
      <c r="H13" s="209">
        <f>E23</f>
      </c>
      <c r="I13" s="209"/>
      <c r="J13" s="209"/>
      <c r="K13" s="210">
        <f>H23</f>
      </c>
      <c r="L13" s="210"/>
      <c r="M13" s="210"/>
      <c r="N13" s="30"/>
      <c r="O13" s="14" t="s">
        <v>0</v>
      </c>
      <c r="P13" s="31"/>
      <c r="Q13" s="32"/>
      <c r="R13" s="32"/>
    </row>
    <row r="14" spans="1:18" s="6" customFormat="1" ht="19.5" customHeight="1">
      <c r="A14" s="3"/>
      <c r="B14" s="3"/>
      <c r="C14" s="3"/>
      <c r="D14" s="47" t="e">
        <f>RANK(Q25,$Q$24:$Q$26)</f>
        <v>#VALUE!</v>
      </c>
      <c r="E14" s="99" t="s">
        <v>28</v>
      </c>
      <c r="F14" s="219" t="s">
        <v>22</v>
      </c>
      <c r="G14" s="219"/>
      <c r="H14" s="209">
        <f>E28</f>
      </c>
      <c r="I14" s="209"/>
      <c r="J14" s="209"/>
      <c r="K14" s="210">
        <f>H28</f>
      </c>
      <c r="L14" s="210"/>
      <c r="M14" s="210"/>
      <c r="N14" s="39"/>
      <c r="O14" s="14" t="s">
        <v>0</v>
      </c>
      <c r="P14" s="31"/>
      <c r="Q14" s="32"/>
      <c r="R14" s="32"/>
    </row>
    <row r="15" spans="1:18" s="6" customFormat="1" ht="19.5" customHeight="1" thickBot="1">
      <c r="A15" s="3"/>
      <c r="B15" s="3"/>
      <c r="C15" s="3"/>
      <c r="D15" s="47" t="e">
        <f>RANK(Q26,$Q$24:$Q$26)</f>
        <v>#VALUE!</v>
      </c>
      <c r="E15" s="148" t="s">
        <v>29</v>
      </c>
      <c r="F15" s="304" t="s">
        <v>100</v>
      </c>
      <c r="G15" s="304"/>
      <c r="H15" s="302">
        <f>E33</f>
      </c>
      <c r="I15" s="302"/>
      <c r="J15" s="302"/>
      <c r="K15" s="303">
        <f>H33</f>
      </c>
      <c r="L15" s="303"/>
      <c r="M15" s="303"/>
      <c r="N15" s="149"/>
      <c r="O15" s="150" t="s">
        <v>0</v>
      </c>
      <c r="P15" s="151"/>
      <c r="Q15" s="32"/>
      <c r="R15" s="32"/>
    </row>
    <row r="16" spans="1:18" s="6" customFormat="1" ht="19.5" customHeight="1">
      <c r="A16" s="3"/>
      <c r="B16" s="3"/>
      <c r="C16" s="3"/>
      <c r="D16" s="47" t="e">
        <f>RANK(Q29,$Q$29:$Q$31)</f>
        <v>#VALUE!</v>
      </c>
      <c r="E16" s="45" t="s">
        <v>31</v>
      </c>
      <c r="F16" s="300" t="s">
        <v>23</v>
      </c>
      <c r="G16" s="300"/>
      <c r="H16" s="301">
        <f>E23</f>
      </c>
      <c r="I16" s="301"/>
      <c r="J16" s="301"/>
      <c r="K16" s="297">
        <f>K23</f>
      </c>
      <c r="L16" s="297"/>
      <c r="M16" s="297"/>
      <c r="N16" s="152"/>
      <c r="O16" s="153" t="s">
        <v>0</v>
      </c>
      <c r="P16" s="154"/>
      <c r="Q16" s="32"/>
      <c r="R16" s="32"/>
    </row>
    <row r="17" spans="1:18" s="6" customFormat="1" ht="19.5" customHeight="1">
      <c r="A17" s="3"/>
      <c r="B17" s="3"/>
      <c r="C17" s="3"/>
      <c r="D17" s="47" t="e">
        <f>RANK(Q30,$Q$29:$Q$31)</f>
        <v>#VALUE!</v>
      </c>
      <c r="E17" s="99" t="s">
        <v>32</v>
      </c>
      <c r="F17" s="257" t="s">
        <v>24</v>
      </c>
      <c r="G17" s="258"/>
      <c r="H17" s="209">
        <f>E28</f>
      </c>
      <c r="I17" s="209"/>
      <c r="J17" s="209"/>
      <c r="K17" s="210">
        <f>K28</f>
      </c>
      <c r="L17" s="210"/>
      <c r="M17" s="210"/>
      <c r="N17" s="30"/>
      <c r="O17" s="14" t="s">
        <v>0</v>
      </c>
      <c r="P17" s="31"/>
      <c r="Q17" s="32"/>
      <c r="R17" s="32"/>
    </row>
    <row r="18" spans="1:18" s="6" customFormat="1" ht="19.5" customHeight="1" thickBot="1">
      <c r="A18" s="3"/>
      <c r="B18" s="3"/>
      <c r="C18" s="3"/>
      <c r="D18" s="47" t="e">
        <f>RANK(Q31,$Q$29:$Q$31)</f>
        <v>#VALUE!</v>
      </c>
      <c r="E18" s="102" t="s">
        <v>33</v>
      </c>
      <c r="F18" s="259" t="s">
        <v>99</v>
      </c>
      <c r="G18" s="260"/>
      <c r="H18" s="204">
        <f>E33</f>
      </c>
      <c r="I18" s="204"/>
      <c r="J18" s="204"/>
      <c r="K18" s="213">
        <f>K33</f>
      </c>
      <c r="L18" s="213"/>
      <c r="M18" s="213"/>
      <c r="N18" s="33"/>
      <c r="O18" s="25" t="s">
        <v>0</v>
      </c>
      <c r="P18" s="34"/>
      <c r="Q18" s="32"/>
      <c r="R18" s="32"/>
    </row>
    <row r="19" spans="1:18" s="6" customFormat="1" ht="19.5" customHeight="1">
      <c r="A19" s="3"/>
      <c r="B19" s="3"/>
      <c r="C19" s="3"/>
      <c r="D19" s="47" t="e">
        <f>RANK(Q34,$Q$34:$Q$36)</f>
        <v>#VALUE!</v>
      </c>
      <c r="E19" s="45" t="s">
        <v>37</v>
      </c>
      <c r="F19" s="295" t="s">
        <v>25</v>
      </c>
      <c r="G19" s="296"/>
      <c r="H19" s="301">
        <f>H23</f>
      </c>
      <c r="I19" s="301"/>
      <c r="J19" s="301"/>
      <c r="K19" s="297">
        <f>K23</f>
      </c>
      <c r="L19" s="297"/>
      <c r="M19" s="297"/>
      <c r="N19" s="152"/>
      <c r="O19" s="153" t="s">
        <v>0</v>
      </c>
      <c r="P19" s="154"/>
      <c r="Q19" s="32"/>
      <c r="R19" s="32"/>
    </row>
    <row r="20" spans="1:18" s="6" customFormat="1" ht="19.5" customHeight="1">
      <c r="A20" s="3"/>
      <c r="B20" s="3"/>
      <c r="C20" s="3"/>
      <c r="D20" s="47" t="e">
        <f>RANK(Q35,$Q$34:$Q$36)</f>
        <v>#VALUE!</v>
      </c>
      <c r="E20" s="99" t="s">
        <v>38</v>
      </c>
      <c r="F20" s="257" t="s">
        <v>26</v>
      </c>
      <c r="G20" s="258"/>
      <c r="H20" s="209">
        <f>H28</f>
      </c>
      <c r="I20" s="209"/>
      <c r="J20" s="209"/>
      <c r="K20" s="210">
        <f>K28</f>
      </c>
      <c r="L20" s="210"/>
      <c r="M20" s="210"/>
      <c r="N20" s="30"/>
      <c r="O20" s="14" t="s">
        <v>0</v>
      </c>
      <c r="P20" s="31"/>
      <c r="Q20" s="32"/>
      <c r="R20" s="32"/>
    </row>
    <row r="21" spans="1:18" s="6" customFormat="1" ht="19.5" customHeight="1" thickBot="1">
      <c r="A21" s="3"/>
      <c r="B21" s="3"/>
      <c r="C21" s="3"/>
      <c r="D21" s="47" t="e">
        <f>RANK(Q36,$Q$34:$Q$36)</f>
        <v>#VALUE!</v>
      </c>
      <c r="E21" s="102" t="s">
        <v>39</v>
      </c>
      <c r="F21" s="298" t="s">
        <v>98</v>
      </c>
      <c r="G21" s="299"/>
      <c r="H21" s="204">
        <f>H33</f>
      </c>
      <c r="I21" s="204"/>
      <c r="J21" s="204"/>
      <c r="K21" s="213">
        <f>K33</f>
      </c>
      <c r="L21" s="213"/>
      <c r="M21" s="213"/>
      <c r="N21" s="33"/>
      <c r="O21" s="25" t="s">
        <v>0</v>
      </c>
      <c r="P21" s="34"/>
      <c r="Q21" s="32"/>
      <c r="R21" s="32"/>
    </row>
    <row r="22" ht="19.5" customHeight="1" thickBot="1"/>
    <row r="23" spans="1:18" s="6" customFormat="1" ht="19.5" customHeight="1">
      <c r="A23" s="3"/>
      <c r="B23" s="293" t="s">
        <v>30</v>
      </c>
      <c r="C23" s="294"/>
      <c r="D23" s="294"/>
      <c r="E23" s="203">
        <f>IF(E5="","",E5)</f>
      </c>
      <c r="F23" s="203"/>
      <c r="G23" s="203"/>
      <c r="H23" s="203">
        <f>IF(E6="","",E6)</f>
      </c>
      <c r="I23" s="203"/>
      <c r="J23" s="203"/>
      <c r="K23" s="203">
        <f>IF(E7="","",E7)</f>
      </c>
      <c r="L23" s="203"/>
      <c r="M23" s="203"/>
      <c r="N23" s="212" t="s">
        <v>1</v>
      </c>
      <c r="O23" s="212"/>
      <c r="P23" s="212"/>
      <c r="Q23" s="4" t="s">
        <v>2</v>
      </c>
      <c r="R23" s="5" t="s">
        <v>3</v>
      </c>
    </row>
    <row r="24" spans="1:18" s="6" customFormat="1" ht="19.5" customHeight="1">
      <c r="A24" s="3"/>
      <c r="B24" s="198">
        <f>E23</f>
      </c>
      <c r="C24" s="199"/>
      <c r="D24" s="199"/>
      <c r="E24" s="7">
        <f>IF(H24&gt;J24,R5,IF(H24=J24,R6,R7))</f>
        <v>1</v>
      </c>
      <c r="F24" s="9">
        <f>IF(K24&gt;M24,R5,IF(K24=M24,R6,R7))</f>
        <v>1</v>
      </c>
      <c r="G24" s="9" t="e">
        <f>0.001*(N24-P24)+0.00001*N24</f>
        <v>#VALUE!</v>
      </c>
      <c r="H24" s="10">
        <f>IF(P13="","",N13)</f>
      </c>
      <c r="I24" s="11" t="s">
        <v>0</v>
      </c>
      <c r="J24" s="12">
        <f>IF(P13="","",P13)</f>
      </c>
      <c r="K24" s="10">
        <f>IF(P16="","",N16)</f>
      </c>
      <c r="L24" s="11" t="s">
        <v>0</v>
      </c>
      <c r="M24" s="12">
        <f>IF(P16="","",P16)</f>
      </c>
      <c r="N24" s="13">
        <f>IF(P19="","",H24+K24)</f>
      </c>
      <c r="O24" s="14" t="s">
        <v>0</v>
      </c>
      <c r="P24" s="15">
        <f>IF(P19="","",J24+M24)</f>
      </c>
      <c r="Q24" s="16">
        <f>IF(P19="","",SUM(E24:G24))</f>
      </c>
      <c r="R24" s="17">
        <f>IF(P19="","",D13&amp;".")</f>
      </c>
    </row>
    <row r="25" spans="1:18" s="6" customFormat="1" ht="19.5" customHeight="1">
      <c r="A25" s="3"/>
      <c r="B25" s="198">
        <f>H23</f>
      </c>
      <c r="C25" s="199"/>
      <c r="D25" s="199"/>
      <c r="E25" s="10">
        <f>J24</f>
      </c>
      <c r="F25" s="11" t="s">
        <v>0</v>
      </c>
      <c r="G25" s="12">
        <f>H24</f>
      </c>
      <c r="H25" s="7">
        <f>IF(E25&gt;G25,R5,IF(E25=G25,R6,R7))</f>
        <v>1</v>
      </c>
      <c r="I25" s="9">
        <f>IF(K25&gt;M25,R5,IF(K25=M25,R6,R7))</f>
        <v>1</v>
      </c>
      <c r="J25" s="9" t="e">
        <f>0.001*(N25-P25)+0.00001*N25</f>
        <v>#VALUE!</v>
      </c>
      <c r="K25" s="10">
        <f>IF(P19="","",N19)</f>
      </c>
      <c r="L25" s="11" t="s">
        <v>0</v>
      </c>
      <c r="M25" s="12">
        <f>IF(P19="","",P19)</f>
      </c>
      <c r="N25" s="13">
        <f>IF(P19="","",E25+K25)</f>
      </c>
      <c r="O25" s="14" t="s">
        <v>0</v>
      </c>
      <c r="P25" s="15">
        <f>IF(P19="","",G25+M25)</f>
      </c>
      <c r="Q25" s="16">
        <f>IF(P19="","",SUM(H25:J25))</f>
      </c>
      <c r="R25" s="17">
        <f>IF(P19="","",D14&amp;".")</f>
      </c>
    </row>
    <row r="26" spans="1:18" s="6" customFormat="1" ht="19.5" customHeight="1" thickBot="1">
      <c r="A26" s="3"/>
      <c r="B26" s="291">
        <f>K23</f>
      </c>
      <c r="C26" s="292"/>
      <c r="D26" s="292"/>
      <c r="E26" s="18">
        <f>M24</f>
      </c>
      <c r="F26" s="19" t="s">
        <v>0</v>
      </c>
      <c r="G26" s="20">
        <f>K24</f>
      </c>
      <c r="H26" s="18">
        <f>M25</f>
      </c>
      <c r="I26" s="19" t="s">
        <v>0</v>
      </c>
      <c r="J26" s="20">
        <f>K25</f>
      </c>
      <c r="K26" s="21">
        <f>IF(E26&gt;G26,R5,IF(E26=G26,R6,R7))</f>
        <v>1</v>
      </c>
      <c r="L26" s="23">
        <f>IF(H26&gt;J26,R5,IF(H26=J26,R6,R7))</f>
        <v>1</v>
      </c>
      <c r="M26" s="23" t="e">
        <f>0.001*(N26-P26)+0.00001*N26</f>
        <v>#VALUE!</v>
      </c>
      <c r="N26" s="24">
        <f>IF(P19="","",E26+H26)</f>
      </c>
      <c r="O26" s="25" t="s">
        <v>0</v>
      </c>
      <c r="P26" s="26">
        <f>IF(P19="","",G26+J26)</f>
      </c>
      <c r="Q26" s="27">
        <f>IF(P19="","",SUM(K26:M26))</f>
      </c>
      <c r="R26" s="28">
        <f>IF(P19="","",D15&amp;".")</f>
      </c>
    </row>
    <row r="27" ht="4.5" customHeight="1" thickBot="1"/>
    <row r="28" spans="1:18" s="6" customFormat="1" ht="19.5" customHeight="1">
      <c r="A28" s="3"/>
      <c r="B28" s="293" t="s">
        <v>34</v>
      </c>
      <c r="C28" s="294"/>
      <c r="D28" s="294"/>
      <c r="E28" s="203">
        <f>IF(E8="","",E8)</f>
      </c>
      <c r="F28" s="203"/>
      <c r="G28" s="203"/>
      <c r="H28" s="203">
        <f>IF(E9="","",E9)</f>
      </c>
      <c r="I28" s="203"/>
      <c r="J28" s="203"/>
      <c r="K28" s="203">
        <f>IF(E10="","",E10)</f>
      </c>
      <c r="L28" s="203"/>
      <c r="M28" s="203"/>
      <c r="N28" s="212" t="s">
        <v>1</v>
      </c>
      <c r="O28" s="212"/>
      <c r="P28" s="212"/>
      <c r="Q28" s="4" t="s">
        <v>2</v>
      </c>
      <c r="R28" s="5" t="s">
        <v>3</v>
      </c>
    </row>
    <row r="29" spans="1:18" s="6" customFormat="1" ht="19.5" customHeight="1">
      <c r="A29" s="3"/>
      <c r="B29" s="198">
        <f>E28</f>
      </c>
      <c r="C29" s="199"/>
      <c r="D29" s="199"/>
      <c r="E29" s="7">
        <f>IF(H29&gt;J29,R5,IF(H29=J29,R6,R7))</f>
        <v>1</v>
      </c>
      <c r="F29" s="9">
        <f>IF(K29&gt;M29,R5,IF(K29=M29,R6,R7))</f>
        <v>1</v>
      </c>
      <c r="G29" s="9" t="e">
        <f>0.001*(N29-P29)+0.00001*N29</f>
        <v>#VALUE!</v>
      </c>
      <c r="H29" s="10">
        <f>IF(P14="","",N14)</f>
      </c>
      <c r="I29" s="11" t="s">
        <v>0</v>
      </c>
      <c r="J29" s="12">
        <f>IF(P14="","",P14)</f>
      </c>
      <c r="K29" s="10">
        <f>IF(P17="","",N17)</f>
      </c>
      <c r="L29" s="11" t="s">
        <v>0</v>
      </c>
      <c r="M29" s="12">
        <f>IF(P17="","",P17)</f>
      </c>
      <c r="N29" s="13">
        <f>IF(P20="","",H29+K29)</f>
      </c>
      <c r="O29" s="14" t="s">
        <v>0</v>
      </c>
      <c r="P29" s="15">
        <f>IF(P20="","",J29+M29)</f>
      </c>
      <c r="Q29" s="16">
        <f>IF(P20="","",SUM(E29:G29))</f>
      </c>
      <c r="R29" s="17">
        <f>IF(P20="","",D16&amp;".")</f>
      </c>
    </row>
    <row r="30" spans="1:18" s="6" customFormat="1" ht="19.5" customHeight="1">
      <c r="A30" s="3"/>
      <c r="B30" s="198">
        <f>H28</f>
      </c>
      <c r="C30" s="199"/>
      <c r="D30" s="199"/>
      <c r="E30" s="10">
        <f>J29</f>
      </c>
      <c r="F30" s="11" t="s">
        <v>0</v>
      </c>
      <c r="G30" s="12">
        <f>H29</f>
      </c>
      <c r="H30" s="7">
        <f>IF(E30&gt;G30,R5,IF(E30=G30,R6,R7))</f>
        <v>1</v>
      </c>
      <c r="I30" s="9">
        <f>IF(K30&gt;M30,R5,IF(K30=M30,R6,R7))</f>
        <v>1</v>
      </c>
      <c r="J30" s="9" t="e">
        <f>0.001*(N30-P30)+0.00001*N30</f>
        <v>#VALUE!</v>
      </c>
      <c r="K30" s="10">
        <f>IF(P20="","",N20)</f>
      </c>
      <c r="L30" s="11" t="s">
        <v>0</v>
      </c>
      <c r="M30" s="12">
        <f>IF(P20="","",P20)</f>
      </c>
      <c r="N30" s="13">
        <f>IF(P20="","",E30+K30)</f>
      </c>
      <c r="O30" s="14" t="s">
        <v>0</v>
      </c>
      <c r="P30" s="15">
        <f>IF(P20="","",G30+M30)</f>
      </c>
      <c r="Q30" s="16">
        <f>IF(P20="","",SUM(H30:J30))</f>
      </c>
      <c r="R30" s="17">
        <f>IF(P20="","",D17&amp;".")</f>
      </c>
    </row>
    <row r="31" spans="1:18" s="6" customFormat="1" ht="19.5" customHeight="1" thickBot="1">
      <c r="A31" s="3"/>
      <c r="B31" s="291">
        <f>K28</f>
      </c>
      <c r="C31" s="292"/>
      <c r="D31" s="292"/>
      <c r="E31" s="18">
        <f>M29</f>
      </c>
      <c r="F31" s="19" t="s">
        <v>0</v>
      </c>
      <c r="G31" s="20">
        <f>K29</f>
      </c>
      <c r="H31" s="18">
        <f>M30</f>
      </c>
      <c r="I31" s="19" t="s">
        <v>0</v>
      </c>
      <c r="J31" s="20">
        <f>K30</f>
      </c>
      <c r="K31" s="21">
        <f>IF(E31&gt;G31,R5,IF(E31=G31,R6,R7))</f>
        <v>1</v>
      </c>
      <c r="L31" s="23">
        <f>IF(H31&gt;J31,R5,IF(H31=J31,R6,R7))</f>
        <v>1</v>
      </c>
      <c r="M31" s="23" t="e">
        <f>0.001*(N31-P31)+0.00001*N31</f>
        <v>#VALUE!</v>
      </c>
      <c r="N31" s="24">
        <f>IF(P20="","",E31+H31)</f>
      </c>
      <c r="O31" s="25" t="s">
        <v>0</v>
      </c>
      <c r="P31" s="26">
        <f>IF(P20="","",G31+J31)</f>
      </c>
      <c r="Q31" s="27">
        <f>IF(P20="","",SUM(K31:M31))</f>
      </c>
      <c r="R31" s="28">
        <f>IF(P20="","",D18&amp;".")</f>
      </c>
    </row>
    <row r="32" ht="4.5" customHeight="1" thickBot="1"/>
    <row r="33" spans="1:18" s="6" customFormat="1" ht="19.5" customHeight="1">
      <c r="A33" s="3"/>
      <c r="B33" s="293" t="s">
        <v>101</v>
      </c>
      <c r="C33" s="294"/>
      <c r="D33" s="294"/>
      <c r="E33" s="203">
        <f>IF(K5="","",K5)</f>
      </c>
      <c r="F33" s="203"/>
      <c r="G33" s="203"/>
      <c r="H33" s="203">
        <f>IF(K6="","",K6)</f>
      </c>
      <c r="I33" s="203"/>
      <c r="J33" s="203"/>
      <c r="K33" s="203">
        <f>IF(K7="","",K7)</f>
      </c>
      <c r="L33" s="203"/>
      <c r="M33" s="203"/>
      <c r="N33" s="212" t="s">
        <v>1</v>
      </c>
      <c r="O33" s="212"/>
      <c r="P33" s="212"/>
      <c r="Q33" s="4" t="s">
        <v>2</v>
      </c>
      <c r="R33" s="5" t="s">
        <v>3</v>
      </c>
    </row>
    <row r="34" spans="1:18" s="6" customFormat="1" ht="19.5" customHeight="1">
      <c r="A34" s="3"/>
      <c r="B34" s="198">
        <f>E33</f>
      </c>
      <c r="C34" s="199"/>
      <c r="D34" s="199"/>
      <c r="E34" s="7">
        <f>IF(H34&gt;J34,R5,IF(H34=J34,R6,R7))</f>
        <v>1</v>
      </c>
      <c r="F34" s="9">
        <f>IF(K34&gt;M34,R5,IF(K34=M34,R6,R7))</f>
        <v>1</v>
      </c>
      <c r="G34" s="9" t="e">
        <f>0.001*(N34-P34)+0.00001*N34</f>
        <v>#VALUE!</v>
      </c>
      <c r="H34" s="10">
        <f>IF(P15="","",N15)</f>
      </c>
      <c r="I34" s="11" t="s">
        <v>0</v>
      </c>
      <c r="J34" s="12">
        <f>IF(P15="","",P15)</f>
      </c>
      <c r="K34" s="10">
        <f>IF(P18="","",N18)</f>
      </c>
      <c r="L34" s="11" t="s">
        <v>0</v>
      </c>
      <c r="M34" s="12">
        <f>IF(P18="","",P18)</f>
      </c>
      <c r="N34" s="13">
        <f>IF(P21="","",H34+K34)</f>
      </c>
      <c r="O34" s="14" t="s">
        <v>0</v>
      </c>
      <c r="P34" s="15">
        <f>IF(P21="","",J34+M34)</f>
      </c>
      <c r="Q34" s="16">
        <f>IF(P21="","",SUM(E34:G34))</f>
      </c>
      <c r="R34" s="17">
        <f>IF(P21="","",D19&amp;".")</f>
      </c>
    </row>
    <row r="35" spans="1:18" s="6" customFormat="1" ht="19.5" customHeight="1">
      <c r="A35" s="3"/>
      <c r="B35" s="198">
        <f>H33</f>
      </c>
      <c r="C35" s="199"/>
      <c r="D35" s="199"/>
      <c r="E35" s="10">
        <f>J34</f>
      </c>
      <c r="F35" s="11" t="s">
        <v>0</v>
      </c>
      <c r="G35" s="12">
        <f>H34</f>
      </c>
      <c r="H35" s="7">
        <f>IF(E35&gt;G35,R5,IF(E35=G35,R6,R7))</f>
        <v>1</v>
      </c>
      <c r="I35" s="9">
        <f>IF(K35&gt;M35,R5,IF(K35=M35,R6,R7))</f>
        <v>1</v>
      </c>
      <c r="J35" s="9" t="e">
        <f>0.001*(N35-P35)+0.00001*N35</f>
        <v>#VALUE!</v>
      </c>
      <c r="K35" s="10">
        <f>IF(P21="","",N21)</f>
      </c>
      <c r="L35" s="11" t="s">
        <v>0</v>
      </c>
      <c r="M35" s="12">
        <f>IF(P21="","",P21)</f>
      </c>
      <c r="N35" s="13">
        <f>IF(P21="","",E35+K35)</f>
      </c>
      <c r="O35" s="14" t="s">
        <v>0</v>
      </c>
      <c r="P35" s="15">
        <f>IF(P21="","",G35+M35)</f>
      </c>
      <c r="Q35" s="16">
        <f>IF(P21="","",SUM(H35:J35))</f>
      </c>
      <c r="R35" s="17">
        <f>IF(P21="","",D20&amp;".")</f>
      </c>
    </row>
    <row r="36" spans="1:18" s="6" customFormat="1" ht="19.5" customHeight="1" thickBot="1">
      <c r="A36" s="3"/>
      <c r="B36" s="291">
        <f>K33</f>
      </c>
      <c r="C36" s="292"/>
      <c r="D36" s="292"/>
      <c r="E36" s="18">
        <f>M34</f>
      </c>
      <c r="F36" s="19" t="s">
        <v>0</v>
      </c>
      <c r="G36" s="20">
        <f>K34</f>
      </c>
      <c r="H36" s="18">
        <f>M35</f>
      </c>
      <c r="I36" s="19" t="s">
        <v>0</v>
      </c>
      <c r="J36" s="20">
        <f>K35</f>
      </c>
      <c r="K36" s="21">
        <f>IF(E36&gt;G36,R5,IF(E36=G36,R6,R7))</f>
        <v>1</v>
      </c>
      <c r="L36" s="23">
        <f>IF(H36&gt;J36,R5,IF(H36=J36,R6,R7))</f>
        <v>1</v>
      </c>
      <c r="M36" s="23" t="e">
        <f>0.001*(N36-P36)+0.00001*N36</f>
        <v>#VALUE!</v>
      </c>
      <c r="N36" s="24">
        <f>IF(P21="","",E36+H36)</f>
      </c>
      <c r="O36" s="25" t="s">
        <v>0</v>
      </c>
      <c r="P36" s="26">
        <f>IF(P21="","",G36+J36)</f>
      </c>
      <c r="Q36" s="27">
        <f>IF(P21="","",SUM(K36:M36))</f>
      </c>
      <c r="R36" s="28">
        <f>IF(P21="","",D21&amp;".")</f>
      </c>
    </row>
    <row r="37" ht="19.5" customHeight="1" thickBot="1"/>
    <row r="38" spans="1:18" s="6" customFormat="1" ht="19.5" customHeight="1">
      <c r="A38" s="3"/>
      <c r="B38" s="3"/>
      <c r="C38" s="3"/>
      <c r="D38" s="29"/>
      <c r="E38" s="229" t="s">
        <v>102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1"/>
      <c r="Q38" s="29"/>
      <c r="R38" s="29"/>
    </row>
    <row r="39" spans="1:18" s="6" customFormat="1" ht="19.5" customHeight="1">
      <c r="A39" s="3"/>
      <c r="B39" s="3"/>
      <c r="C39" s="3"/>
      <c r="D39" s="47" t="e">
        <f>RANK(Q50,$Q$24:$Q$26)</f>
        <v>#VALUE!</v>
      </c>
      <c r="E39" s="99" t="s">
        <v>27</v>
      </c>
      <c r="F39" s="219" t="s">
        <v>51</v>
      </c>
      <c r="G39" s="219"/>
      <c r="H39" s="209">
        <f>E49</f>
      </c>
      <c r="I39" s="209"/>
      <c r="J39" s="209"/>
      <c r="K39" s="210">
        <f>H49</f>
      </c>
      <c r="L39" s="210"/>
      <c r="M39" s="210"/>
      <c r="N39" s="30"/>
      <c r="O39" s="14" t="s">
        <v>0</v>
      </c>
      <c r="P39" s="31"/>
      <c r="Q39" s="32"/>
      <c r="R39" s="32"/>
    </row>
    <row r="40" spans="1:18" s="6" customFormat="1" ht="19.5" customHeight="1">
      <c r="A40" s="3"/>
      <c r="B40" s="3"/>
      <c r="C40" s="3"/>
      <c r="D40" s="47" t="e">
        <f>RANK(Q51,$Q$24:$Q$26)</f>
        <v>#VALUE!</v>
      </c>
      <c r="E40" s="99" t="s">
        <v>28</v>
      </c>
      <c r="F40" s="219" t="s">
        <v>50</v>
      </c>
      <c r="G40" s="219"/>
      <c r="H40" s="209">
        <f>E54</f>
      </c>
      <c r="I40" s="209"/>
      <c r="J40" s="209"/>
      <c r="K40" s="210">
        <f>H54</f>
      </c>
      <c r="L40" s="210"/>
      <c r="M40" s="210"/>
      <c r="N40" s="39"/>
      <c r="O40" s="14" t="s">
        <v>0</v>
      </c>
      <c r="P40" s="31"/>
      <c r="Q40" s="32"/>
      <c r="R40" s="32"/>
    </row>
    <row r="41" spans="1:18" s="6" customFormat="1" ht="19.5" customHeight="1" thickBot="1">
      <c r="A41" s="3"/>
      <c r="B41" s="3"/>
      <c r="C41" s="3"/>
      <c r="D41" s="47" t="e">
        <f>RANK(Q52,$Q$24:$Q$26)</f>
        <v>#VALUE!</v>
      </c>
      <c r="E41" s="148" t="s">
        <v>29</v>
      </c>
      <c r="F41" s="304" t="s">
        <v>40</v>
      </c>
      <c r="G41" s="304"/>
      <c r="H41" s="302">
        <f>E59</f>
      </c>
      <c r="I41" s="302"/>
      <c r="J41" s="302"/>
      <c r="K41" s="303">
        <f>H59</f>
      </c>
      <c r="L41" s="303"/>
      <c r="M41" s="303"/>
      <c r="N41" s="149"/>
      <c r="O41" s="150" t="s">
        <v>0</v>
      </c>
      <c r="P41" s="151"/>
      <c r="Q41" s="32"/>
      <c r="R41" s="32"/>
    </row>
    <row r="42" spans="1:18" s="6" customFormat="1" ht="19.5" customHeight="1">
      <c r="A42" s="3"/>
      <c r="B42" s="3"/>
      <c r="C42" s="3"/>
      <c r="D42" s="47" t="e">
        <f>RANK(Q55,$Q$29:$Q$31)</f>
        <v>#VALUE!</v>
      </c>
      <c r="E42" s="45" t="s">
        <v>31</v>
      </c>
      <c r="F42" s="300" t="s">
        <v>106</v>
      </c>
      <c r="G42" s="300"/>
      <c r="H42" s="301">
        <f>E49</f>
      </c>
      <c r="I42" s="301"/>
      <c r="J42" s="301"/>
      <c r="K42" s="297">
        <f>K49</f>
      </c>
      <c r="L42" s="297"/>
      <c r="M42" s="297"/>
      <c r="N42" s="152"/>
      <c r="O42" s="153" t="s">
        <v>0</v>
      </c>
      <c r="P42" s="154"/>
      <c r="Q42" s="32"/>
      <c r="R42" s="32"/>
    </row>
    <row r="43" spans="1:18" s="6" customFormat="1" ht="19.5" customHeight="1">
      <c r="A43" s="3"/>
      <c r="B43" s="3"/>
      <c r="C43" s="3"/>
      <c r="D43" s="47" t="e">
        <f>RANK(Q56,$Q$29:$Q$31)</f>
        <v>#VALUE!</v>
      </c>
      <c r="E43" s="99" t="s">
        <v>32</v>
      </c>
      <c r="F43" s="257" t="s">
        <v>107</v>
      </c>
      <c r="G43" s="258"/>
      <c r="H43" s="209">
        <f>E54</f>
      </c>
      <c r="I43" s="209"/>
      <c r="J43" s="209"/>
      <c r="K43" s="210">
        <f>K54</f>
      </c>
      <c r="L43" s="210"/>
      <c r="M43" s="210"/>
      <c r="N43" s="30"/>
      <c r="O43" s="14" t="s">
        <v>0</v>
      </c>
      <c r="P43" s="31"/>
      <c r="Q43" s="32"/>
      <c r="R43" s="32"/>
    </row>
    <row r="44" spans="1:18" s="6" customFormat="1" ht="19.5" customHeight="1" thickBot="1">
      <c r="A44" s="3"/>
      <c r="B44" s="3"/>
      <c r="C44" s="3"/>
      <c r="D44" s="47" t="e">
        <f>RANK(Q57,$Q$29:$Q$31)</f>
        <v>#VALUE!</v>
      </c>
      <c r="E44" s="102" t="s">
        <v>33</v>
      </c>
      <c r="F44" s="259" t="s">
        <v>108</v>
      </c>
      <c r="G44" s="260"/>
      <c r="H44" s="204">
        <f>E59</f>
      </c>
      <c r="I44" s="204"/>
      <c r="J44" s="204"/>
      <c r="K44" s="213">
        <f>K59</f>
      </c>
      <c r="L44" s="213"/>
      <c r="M44" s="213"/>
      <c r="N44" s="33"/>
      <c r="O44" s="25" t="s">
        <v>0</v>
      </c>
      <c r="P44" s="34"/>
      <c r="Q44" s="32"/>
      <c r="R44" s="32"/>
    </row>
    <row r="45" spans="1:18" s="6" customFormat="1" ht="19.5" customHeight="1">
      <c r="A45" s="3"/>
      <c r="B45" s="3"/>
      <c r="C45" s="3"/>
      <c r="D45" s="47" t="e">
        <f>RANK(Q60,$Q$34:$Q$36)</f>
        <v>#VALUE!</v>
      </c>
      <c r="E45" s="45" t="s">
        <v>37</v>
      </c>
      <c r="F45" s="295" t="s">
        <v>109</v>
      </c>
      <c r="G45" s="296"/>
      <c r="H45" s="301">
        <f>H49</f>
      </c>
      <c r="I45" s="301"/>
      <c r="J45" s="301"/>
      <c r="K45" s="297">
        <f>K49</f>
      </c>
      <c r="L45" s="297"/>
      <c r="M45" s="297"/>
      <c r="N45" s="152"/>
      <c r="O45" s="153" t="s">
        <v>0</v>
      </c>
      <c r="P45" s="154"/>
      <c r="Q45" s="32"/>
      <c r="R45" s="32"/>
    </row>
    <row r="46" spans="1:18" s="6" customFormat="1" ht="19.5" customHeight="1">
      <c r="A46" s="3"/>
      <c r="B46" s="3"/>
      <c r="C46" s="3"/>
      <c r="D46" s="47" t="e">
        <f>RANK(Q61,$Q$34:$Q$36)</f>
        <v>#VALUE!</v>
      </c>
      <c r="E46" s="99" t="s">
        <v>38</v>
      </c>
      <c r="F46" s="257" t="s">
        <v>110</v>
      </c>
      <c r="G46" s="258"/>
      <c r="H46" s="209">
        <f>H54</f>
      </c>
      <c r="I46" s="209"/>
      <c r="J46" s="209"/>
      <c r="K46" s="210">
        <f>K54</f>
      </c>
      <c r="L46" s="210"/>
      <c r="M46" s="210"/>
      <c r="N46" s="30"/>
      <c r="O46" s="14" t="s">
        <v>0</v>
      </c>
      <c r="P46" s="31"/>
      <c r="Q46" s="32"/>
      <c r="R46" s="32"/>
    </row>
    <row r="47" spans="1:18" s="6" customFormat="1" ht="19.5" customHeight="1" thickBot="1">
      <c r="A47" s="3"/>
      <c r="B47" s="3"/>
      <c r="C47" s="3"/>
      <c r="D47" s="47" t="e">
        <f>RANK(Q62,$Q$34:$Q$36)</f>
        <v>#VALUE!</v>
      </c>
      <c r="E47" s="102" t="s">
        <v>39</v>
      </c>
      <c r="F47" s="298" t="s">
        <v>111</v>
      </c>
      <c r="G47" s="299"/>
      <c r="H47" s="204">
        <f>H59</f>
      </c>
      <c r="I47" s="204"/>
      <c r="J47" s="204"/>
      <c r="K47" s="213">
        <f>K59</f>
      </c>
      <c r="L47" s="213"/>
      <c r="M47" s="213"/>
      <c r="N47" s="33"/>
      <c r="O47" s="25" t="s">
        <v>0</v>
      </c>
      <c r="P47" s="34"/>
      <c r="Q47" s="32"/>
      <c r="R47" s="32"/>
    </row>
    <row r="48" ht="19.5" customHeight="1" thickBot="1"/>
    <row r="49" spans="1:18" s="6" customFormat="1" ht="19.5" customHeight="1">
      <c r="A49" s="3"/>
      <c r="B49" s="293" t="s">
        <v>104</v>
      </c>
      <c r="C49" s="294"/>
      <c r="D49" s="294"/>
      <c r="E49" s="203">
        <f>IF(P21="","",IF(D13=1,E5,IF(D14=1,E6,E7)))</f>
      </c>
      <c r="F49" s="203"/>
      <c r="G49" s="203"/>
      <c r="H49" s="203">
        <f>IF(P21="","",IF(D16=1,E8,IF(D17=1,E9,E10)))</f>
      </c>
      <c r="I49" s="203"/>
      <c r="J49" s="203"/>
      <c r="K49" s="203">
        <f>IF(P21="","",IF(D19=1,K5,IF(D20=1,K6,K7)))</f>
      </c>
      <c r="L49" s="203"/>
      <c r="M49" s="203"/>
      <c r="N49" s="212" t="s">
        <v>1</v>
      </c>
      <c r="O49" s="212"/>
      <c r="P49" s="212"/>
      <c r="Q49" s="4" t="s">
        <v>2</v>
      </c>
      <c r="R49" s="5" t="s">
        <v>3</v>
      </c>
    </row>
    <row r="50" spans="1:18" s="6" customFormat="1" ht="19.5" customHeight="1">
      <c r="A50" s="3"/>
      <c r="B50" s="198">
        <f>E49</f>
      </c>
      <c r="C50" s="199"/>
      <c r="D50" s="199"/>
      <c r="E50" s="7">
        <f>IF(H50&gt;J50,R5,IF(H50=J50,R6,R7))</f>
        <v>1</v>
      </c>
      <c r="F50" s="9">
        <f>IF(K50&gt;M50,R5,IF(K50=M50,R6,R7))</f>
        <v>1</v>
      </c>
      <c r="G50" s="9" t="e">
        <f>0.001*(N50-P50)+0.00001*N50</f>
        <v>#VALUE!</v>
      </c>
      <c r="H50" s="10">
        <f>IF(P39="","",N39)</f>
      </c>
      <c r="I50" s="11" t="s">
        <v>0</v>
      </c>
      <c r="J50" s="12">
        <f>IF(P39="","",P39)</f>
      </c>
      <c r="K50" s="10">
        <f>IF(P42="","",N42)</f>
      </c>
      <c r="L50" s="11" t="s">
        <v>0</v>
      </c>
      <c r="M50" s="12">
        <f>IF(P42="","",P42)</f>
      </c>
      <c r="N50" s="13">
        <f>IF(P45="","",H50+K50)</f>
      </c>
      <c r="O50" s="14" t="s">
        <v>0</v>
      </c>
      <c r="P50" s="15">
        <f>IF(P45="","",J50+M50)</f>
      </c>
      <c r="Q50" s="16">
        <f>IF(P45="","",SUM(E50:G50))</f>
      </c>
      <c r="R50" s="17">
        <f>IF(P45="","",D39&amp;".")</f>
      </c>
    </row>
    <row r="51" spans="1:18" s="6" customFormat="1" ht="19.5" customHeight="1">
      <c r="A51" s="3"/>
      <c r="B51" s="198">
        <f>H49</f>
      </c>
      <c r="C51" s="199"/>
      <c r="D51" s="199"/>
      <c r="E51" s="10">
        <f>J50</f>
      </c>
      <c r="F51" s="11" t="s">
        <v>0</v>
      </c>
      <c r="G51" s="12">
        <f>H50</f>
      </c>
      <c r="H51" s="7">
        <f>IF(E51&gt;G51,R5,IF(E51=G51,R6,R7))</f>
        <v>1</v>
      </c>
      <c r="I51" s="9">
        <f>IF(K51&gt;M51,R5,IF(K51=M51,R6,R7))</f>
        <v>1</v>
      </c>
      <c r="J51" s="9" t="e">
        <f>0.001*(N51-P51)+0.00001*N51</f>
        <v>#VALUE!</v>
      </c>
      <c r="K51" s="10">
        <f>IF(P45="","",N45)</f>
      </c>
      <c r="L51" s="11" t="s">
        <v>0</v>
      </c>
      <c r="M51" s="12">
        <f>IF(P45="","",P45)</f>
      </c>
      <c r="N51" s="13">
        <f>IF(P45="","",E51+K51)</f>
      </c>
      <c r="O51" s="14" t="s">
        <v>0</v>
      </c>
      <c r="P51" s="15">
        <f>IF(P45="","",G51+M51)</f>
      </c>
      <c r="Q51" s="16">
        <f>IF(P45="","",SUM(H51:J51))</f>
      </c>
      <c r="R51" s="17">
        <f>IF(P45="","",D40&amp;".")</f>
      </c>
    </row>
    <row r="52" spans="1:18" s="6" customFormat="1" ht="19.5" customHeight="1" thickBot="1">
      <c r="A52" s="3"/>
      <c r="B52" s="291">
        <f>K49</f>
      </c>
      <c r="C52" s="292"/>
      <c r="D52" s="292"/>
      <c r="E52" s="18">
        <f>M50</f>
      </c>
      <c r="F52" s="19" t="s">
        <v>0</v>
      </c>
      <c r="G52" s="20">
        <f>K50</f>
      </c>
      <c r="H52" s="18">
        <f>M51</f>
      </c>
      <c r="I52" s="19" t="s">
        <v>0</v>
      </c>
      <c r="J52" s="20">
        <f>K51</f>
      </c>
      <c r="K52" s="21">
        <f>IF(E52&gt;G52,R5,IF(E52=G52,R6,R7))</f>
        <v>1</v>
      </c>
      <c r="L52" s="23">
        <f>IF(H52&gt;J52,R5,IF(H52=J52,R6,R7))</f>
        <v>1</v>
      </c>
      <c r="M52" s="23" t="e">
        <f>0.001*(N52-P52)+0.00001*N52</f>
        <v>#VALUE!</v>
      </c>
      <c r="N52" s="24">
        <f>IF(P45="","",E52+H52)</f>
      </c>
      <c r="O52" s="25" t="s">
        <v>0</v>
      </c>
      <c r="P52" s="26">
        <f>IF(P45="","",G52+J52)</f>
      </c>
      <c r="Q52" s="27">
        <f>IF(P45="","",SUM(K52:M52))</f>
      </c>
      <c r="R52" s="28">
        <f>IF(P45="","",D41&amp;".")</f>
      </c>
    </row>
    <row r="53" ht="4.5" customHeight="1" thickBot="1"/>
    <row r="54" spans="1:18" s="6" customFormat="1" ht="19.5" customHeight="1">
      <c r="A54" s="3"/>
      <c r="B54" s="293" t="s">
        <v>105</v>
      </c>
      <c r="C54" s="294"/>
      <c r="D54" s="294"/>
      <c r="E54" s="203">
        <f>IF(P21="","",IF(D13=2,E5,IF(D14=2,E6,E7)))</f>
      </c>
      <c r="F54" s="203"/>
      <c r="G54" s="203"/>
      <c r="H54" s="203">
        <f>IF(P21="","",IF(D16=2,E8,IF(D17=2,E9,E10)))</f>
      </c>
      <c r="I54" s="203"/>
      <c r="J54" s="203"/>
      <c r="K54" s="203">
        <f>IF(P21="","",IF(D19=2,K5,IF(D20=2,K6,K7)))</f>
      </c>
      <c r="L54" s="203"/>
      <c r="M54" s="203"/>
      <c r="N54" s="212" t="s">
        <v>1</v>
      </c>
      <c r="O54" s="212"/>
      <c r="P54" s="212"/>
      <c r="Q54" s="4" t="s">
        <v>2</v>
      </c>
      <c r="R54" s="5" t="s">
        <v>3</v>
      </c>
    </row>
    <row r="55" spans="1:18" s="6" customFormat="1" ht="19.5" customHeight="1">
      <c r="A55" s="3"/>
      <c r="B55" s="198">
        <f>E54</f>
      </c>
      <c r="C55" s="199"/>
      <c r="D55" s="199"/>
      <c r="E55" s="7">
        <f>IF(H55&gt;J55,R5,IF(H55=J55,R6,R7))</f>
        <v>1</v>
      </c>
      <c r="F55" s="9">
        <f>IF(K55&gt;M55,R5,IF(K55=M55,R6,R7))</f>
        <v>1</v>
      </c>
      <c r="G55" s="9" t="e">
        <f>0.001*(N55-P55)+0.00001*N55</f>
        <v>#VALUE!</v>
      </c>
      <c r="H55" s="10">
        <f>IF(P40="","",N40)</f>
      </c>
      <c r="I55" s="11" t="s">
        <v>0</v>
      </c>
      <c r="J55" s="12">
        <f>IF(P40="","",P40)</f>
      </c>
      <c r="K55" s="10">
        <f>IF(P43="","",N43)</f>
      </c>
      <c r="L55" s="11" t="s">
        <v>0</v>
      </c>
      <c r="M55" s="12">
        <f>IF(P43="","",P43)</f>
      </c>
      <c r="N55" s="13">
        <f>IF(P46="","",H55+K55)</f>
      </c>
      <c r="O55" s="14" t="s">
        <v>0</v>
      </c>
      <c r="P55" s="15">
        <f>IF(P46="","",J55+M55)</f>
      </c>
      <c r="Q55" s="16">
        <f>IF(P46="","",SUM(E55:G55))</f>
      </c>
      <c r="R55" s="17">
        <f>IF(P46="","",D42+3&amp;".")</f>
      </c>
    </row>
    <row r="56" spans="1:18" s="6" customFormat="1" ht="19.5" customHeight="1">
      <c r="A56" s="3"/>
      <c r="B56" s="198">
        <f>H54</f>
      </c>
      <c r="C56" s="199"/>
      <c r="D56" s="199"/>
      <c r="E56" s="10">
        <f>J55</f>
      </c>
      <c r="F56" s="11" t="s">
        <v>0</v>
      </c>
      <c r="G56" s="12">
        <f>H55</f>
      </c>
      <c r="H56" s="7">
        <f>IF(E56&gt;G56,R5,IF(E56=G56,R6,R7))</f>
        <v>1</v>
      </c>
      <c r="I56" s="9">
        <f>IF(K56&gt;M56,R5,IF(K56=M56,R6,R7))</f>
        <v>1</v>
      </c>
      <c r="J56" s="9" t="e">
        <f>0.001*(N56-P56)+0.00001*N56</f>
        <v>#VALUE!</v>
      </c>
      <c r="K56" s="10">
        <f>IF(P46="","",N46)</f>
      </c>
      <c r="L56" s="11" t="s">
        <v>0</v>
      </c>
      <c r="M56" s="12">
        <f>IF(P46="","",P46)</f>
      </c>
      <c r="N56" s="13">
        <f>IF(P46="","",E56+K56)</f>
      </c>
      <c r="O56" s="14" t="s">
        <v>0</v>
      </c>
      <c r="P56" s="15">
        <f>IF(P46="","",G56+M56)</f>
      </c>
      <c r="Q56" s="16">
        <f>IF(P46="","",SUM(H56:J56))</f>
      </c>
      <c r="R56" s="17">
        <f>IF(P46="","",D43+3&amp;".")</f>
      </c>
    </row>
    <row r="57" spans="1:18" s="6" customFormat="1" ht="19.5" customHeight="1" thickBot="1">
      <c r="A57" s="3"/>
      <c r="B57" s="291">
        <f>K54</f>
      </c>
      <c r="C57" s="292"/>
      <c r="D57" s="292"/>
      <c r="E57" s="18">
        <f>M55</f>
      </c>
      <c r="F57" s="19" t="s">
        <v>0</v>
      </c>
      <c r="G57" s="20">
        <f>K55</f>
      </c>
      <c r="H57" s="18">
        <f>M56</f>
      </c>
      <c r="I57" s="19" t="s">
        <v>0</v>
      </c>
      <c r="J57" s="20">
        <f>K56</f>
      </c>
      <c r="K57" s="21">
        <f>IF(E57&gt;G57,R5,IF(E57=G57,R6,R7))</f>
        <v>1</v>
      </c>
      <c r="L57" s="23">
        <f>IF(H57&gt;J57,R5,IF(H57=J57,R6,R7))</f>
        <v>1</v>
      </c>
      <c r="M57" s="23" t="e">
        <f>0.001*(N57-P57)+0.00001*N57</f>
        <v>#VALUE!</v>
      </c>
      <c r="N57" s="24">
        <f>IF(P46="","",E57+H57)</f>
      </c>
      <c r="O57" s="25" t="s">
        <v>0</v>
      </c>
      <c r="P57" s="26">
        <f>IF(P46="","",G57+J57)</f>
      </c>
      <c r="Q57" s="27">
        <f>IF(P46="","",SUM(K57:M57))</f>
      </c>
      <c r="R57" s="28">
        <f>IF(P46="","",D44+3&amp;".")</f>
      </c>
    </row>
    <row r="58" ht="4.5" customHeight="1" thickBot="1"/>
    <row r="59" spans="1:18" s="6" customFormat="1" ht="19.5" customHeight="1">
      <c r="A59" s="3"/>
      <c r="B59" s="293" t="s">
        <v>103</v>
      </c>
      <c r="C59" s="294"/>
      <c r="D59" s="294"/>
      <c r="E59" s="203">
        <f>IF(P21="","",IF(D13=3,E5,IF(D14=3,E6,E7)))</f>
      </c>
      <c r="F59" s="203"/>
      <c r="G59" s="203"/>
      <c r="H59" s="203">
        <f>IF(P21="","",IF(D16=3,E8,IF(D17=3,E9,E10)))</f>
      </c>
      <c r="I59" s="203"/>
      <c r="J59" s="203"/>
      <c r="K59" s="203">
        <f>IF(P21="","",IF(D19=3,K5,IF(D20=3,K6,K7)))</f>
      </c>
      <c r="L59" s="203"/>
      <c r="M59" s="203"/>
      <c r="N59" s="212" t="s">
        <v>1</v>
      </c>
      <c r="O59" s="212"/>
      <c r="P59" s="212"/>
      <c r="Q59" s="4" t="s">
        <v>2</v>
      </c>
      <c r="R59" s="5" t="s">
        <v>3</v>
      </c>
    </row>
    <row r="60" spans="1:18" s="6" customFormat="1" ht="19.5" customHeight="1">
      <c r="A60" s="3"/>
      <c r="B60" s="198">
        <f>E59</f>
      </c>
      <c r="C60" s="199"/>
      <c r="D60" s="199"/>
      <c r="E60" s="7">
        <f>IF(H60&gt;J60,R5,IF(H60=J60,R6,R7))</f>
        <v>1</v>
      </c>
      <c r="F60" s="9">
        <f>IF(K60&gt;M60,R5,IF(K60=M60,R6,R7))</f>
        <v>1</v>
      </c>
      <c r="G60" s="9" t="e">
        <f>0.001*(N60-P60)+0.00001*N60</f>
        <v>#VALUE!</v>
      </c>
      <c r="H60" s="10">
        <f>IF(P41="","",N41)</f>
      </c>
      <c r="I60" s="11" t="s">
        <v>0</v>
      </c>
      <c r="J60" s="12">
        <f>IF(P41="","",P41)</f>
      </c>
      <c r="K60" s="10">
        <f>IF(P44="","",N44)</f>
      </c>
      <c r="L60" s="11" t="s">
        <v>0</v>
      </c>
      <c r="M60" s="12">
        <f>IF(P44="","",P44)</f>
      </c>
      <c r="N60" s="13">
        <f>IF(P47="","",H60+K60)</f>
      </c>
      <c r="O60" s="14" t="s">
        <v>0</v>
      </c>
      <c r="P60" s="15">
        <f>IF(P47="","",J60+M60)</f>
      </c>
      <c r="Q60" s="16">
        <f>IF(P47="","",SUM(E60:G60))</f>
      </c>
      <c r="R60" s="17">
        <f>IF(P47="","",D45+6&amp;".")</f>
      </c>
    </row>
    <row r="61" spans="1:18" s="6" customFormat="1" ht="19.5" customHeight="1">
      <c r="A61" s="3"/>
      <c r="B61" s="198">
        <f>H59</f>
      </c>
      <c r="C61" s="199"/>
      <c r="D61" s="199"/>
      <c r="E61" s="10">
        <f>J60</f>
      </c>
      <c r="F61" s="11" t="s">
        <v>0</v>
      </c>
      <c r="G61" s="12">
        <f>H60</f>
      </c>
      <c r="H61" s="7">
        <f>IF(E61&gt;G61,R5,IF(E61=G61,R6,R7))</f>
        <v>1</v>
      </c>
      <c r="I61" s="9">
        <f>IF(K61&gt;M61,R5,IF(K61=M61,R6,R7))</f>
        <v>1</v>
      </c>
      <c r="J61" s="9" t="e">
        <f>0.001*(N61-P61)+0.00001*N61</f>
        <v>#VALUE!</v>
      </c>
      <c r="K61" s="10">
        <f>IF(P47="","",N47)</f>
      </c>
      <c r="L61" s="11" t="s">
        <v>0</v>
      </c>
      <c r="M61" s="12">
        <f>IF(P47="","",P47)</f>
      </c>
      <c r="N61" s="13">
        <f>IF(P47="","",E61+K61)</f>
      </c>
      <c r="O61" s="14" t="s">
        <v>0</v>
      </c>
      <c r="P61" s="15">
        <f>IF(P47="","",G61+M61)</f>
      </c>
      <c r="Q61" s="16">
        <f>IF(P47="","",SUM(H61:J61))</f>
      </c>
      <c r="R61" s="17">
        <f>IF(P47="","",D46+6&amp;".")</f>
      </c>
    </row>
    <row r="62" spans="1:18" s="6" customFormat="1" ht="19.5" customHeight="1" thickBot="1">
      <c r="A62" s="3"/>
      <c r="B62" s="291">
        <f>K59</f>
      </c>
      <c r="C62" s="292"/>
      <c r="D62" s="292"/>
      <c r="E62" s="18">
        <f>M60</f>
      </c>
      <c r="F62" s="19" t="s">
        <v>0</v>
      </c>
      <c r="G62" s="20">
        <f>K60</f>
      </c>
      <c r="H62" s="18">
        <f>M61</f>
      </c>
      <c r="I62" s="19" t="s">
        <v>0</v>
      </c>
      <c r="J62" s="20">
        <f>K61</f>
      </c>
      <c r="K62" s="21">
        <f>IF(E62&gt;G62,R5,IF(E62=G62,R6,R7))</f>
        <v>1</v>
      </c>
      <c r="L62" s="23">
        <f>IF(H62&gt;J62,R5,IF(H62=J62,R6,R7))</f>
        <v>1</v>
      </c>
      <c r="M62" s="23" t="e">
        <f>0.001*(N62-P62)+0.00001*N62</f>
        <v>#VALUE!</v>
      </c>
      <c r="N62" s="24">
        <f>IF(P47="","",E62+H62)</f>
      </c>
      <c r="O62" s="25" t="s">
        <v>0</v>
      </c>
      <c r="P62" s="26">
        <f>IF(P47="","",G62+J62)</f>
      </c>
      <c r="Q62" s="27">
        <f>IF(P47="","",SUM(K62:M62))</f>
      </c>
      <c r="R62" s="28">
        <f>IF(P47="","",D47+6&amp;".")</f>
      </c>
    </row>
    <row r="63" ht="19.5" customHeight="1" thickBot="1"/>
    <row r="64" spans="7:10" ht="19.5" customHeight="1">
      <c r="G64" s="227" t="s">
        <v>112</v>
      </c>
      <c r="H64" s="212"/>
      <c r="I64" s="212"/>
      <c r="J64" s="228"/>
    </row>
    <row r="65" spans="7:10" ht="19.5" customHeight="1">
      <c r="G65" s="99" t="s">
        <v>27</v>
      </c>
      <c r="H65" s="210">
        <f>IF(P45="","",IF(D39=1,B50,IF(D40=1,B51,B52)))</f>
      </c>
      <c r="I65" s="210"/>
      <c r="J65" s="263"/>
    </row>
    <row r="66" spans="7:10" ht="19.5" customHeight="1">
      <c r="G66" s="99" t="s">
        <v>28</v>
      </c>
      <c r="H66" s="210">
        <f>IF(P45="","",IF(D39=2,B50,IF(D40=2,B51,B52)))</f>
      </c>
      <c r="I66" s="210"/>
      <c r="J66" s="263"/>
    </row>
    <row r="67" spans="7:10" ht="19.5" customHeight="1">
      <c r="G67" s="99" t="s">
        <v>29</v>
      </c>
      <c r="H67" s="210">
        <f>IF(P45="","",IF(D39=3,B50,IF(D40=3,B51,B52)))</f>
      </c>
      <c r="I67" s="210"/>
      <c r="J67" s="263"/>
    </row>
    <row r="68" spans="7:10" ht="19.5" customHeight="1">
      <c r="G68" s="99" t="s">
        <v>31</v>
      </c>
      <c r="H68" s="210">
        <f>IF(P46="","",IF(D42=1,B55,IF(D43=1,B56,B57)))</f>
      </c>
      <c r="I68" s="210"/>
      <c r="J68" s="263"/>
    </row>
    <row r="69" spans="7:10" ht="19.5" customHeight="1">
      <c r="G69" s="99" t="s">
        <v>32</v>
      </c>
      <c r="H69" s="210">
        <f>IF(P46="","",IF(D42=2,B55,IF(D43=2,B56,B57)))</f>
      </c>
      <c r="I69" s="210"/>
      <c r="J69" s="263"/>
    </row>
    <row r="70" spans="7:10" ht="19.5" customHeight="1">
      <c r="G70" s="99" t="s">
        <v>33</v>
      </c>
      <c r="H70" s="210">
        <f>IF(P46="","",IF(D42=3,B55,IF(D43=3,B56,B57)))</f>
      </c>
      <c r="I70" s="210"/>
      <c r="J70" s="263"/>
    </row>
    <row r="71" spans="7:10" ht="19.5" customHeight="1">
      <c r="G71" s="99" t="s">
        <v>37</v>
      </c>
      <c r="H71" s="210">
        <f>IF(P47="","",IF(D45=1,B60,IF(D46=1,B61,B62)))</f>
      </c>
      <c r="I71" s="210"/>
      <c r="J71" s="263"/>
    </row>
    <row r="72" spans="7:10" ht="19.5" customHeight="1">
      <c r="G72" s="99" t="s">
        <v>38</v>
      </c>
      <c r="H72" s="210">
        <f>IF(P47="","",IF(D45=2,B60,IF(D46=2,B61,B62)))</f>
      </c>
      <c r="I72" s="210"/>
      <c r="J72" s="263"/>
    </row>
    <row r="73" spans="7:10" ht="19.5" customHeight="1" thickBot="1">
      <c r="G73" s="102" t="s">
        <v>39</v>
      </c>
      <c r="H73" s="213">
        <f>IF(P47="","",IF(D45=3,B60,IF(D46=3,B61,B62)))</f>
      </c>
      <c r="I73" s="213"/>
      <c r="J73" s="264"/>
    </row>
  </sheetData>
  <sheetProtection sheet="1" objects="1" scenarios="1"/>
  <mergeCells count="131">
    <mergeCell ref="H46:J46"/>
    <mergeCell ref="F40:G40"/>
    <mergeCell ref="H40:J40"/>
    <mergeCell ref="K40:M40"/>
    <mergeCell ref="F41:G41"/>
    <mergeCell ref="H41:J41"/>
    <mergeCell ref="K41:M41"/>
    <mergeCell ref="K17:M17"/>
    <mergeCell ref="H19:J19"/>
    <mergeCell ref="K19:M19"/>
    <mergeCell ref="D2:R2"/>
    <mergeCell ref="H44:J44"/>
    <mergeCell ref="H45:J45"/>
    <mergeCell ref="E10:G10"/>
    <mergeCell ref="F14:G14"/>
    <mergeCell ref="F13:G13"/>
    <mergeCell ref="E12:P12"/>
    <mergeCell ref="H65:J65"/>
    <mergeCell ref="E28:G28"/>
    <mergeCell ref="H28:J28"/>
    <mergeCell ref="K28:M28"/>
    <mergeCell ref="N28:P28"/>
    <mergeCell ref="H20:J20"/>
    <mergeCell ref="O5:Q5"/>
    <mergeCell ref="O6:Q6"/>
    <mergeCell ref="E5:G5"/>
    <mergeCell ref="E6:G6"/>
    <mergeCell ref="K5:M5"/>
    <mergeCell ref="K6:M6"/>
    <mergeCell ref="D1:R1"/>
    <mergeCell ref="E7:G7"/>
    <mergeCell ref="K23:M23"/>
    <mergeCell ref="N23:P23"/>
    <mergeCell ref="K16:M16"/>
    <mergeCell ref="E23:G23"/>
    <mergeCell ref="H23:J23"/>
    <mergeCell ref="H16:J16"/>
    <mergeCell ref="O7:Q7"/>
    <mergeCell ref="O4:R4"/>
    <mergeCell ref="D4:G4"/>
    <mergeCell ref="J4:M4"/>
    <mergeCell ref="F21:G21"/>
    <mergeCell ref="F18:G18"/>
    <mergeCell ref="H18:J18"/>
    <mergeCell ref="K18:M18"/>
    <mergeCell ref="F15:G15"/>
    <mergeCell ref="H13:J13"/>
    <mergeCell ref="K13:M13"/>
    <mergeCell ref="H14:J14"/>
    <mergeCell ref="K7:M7"/>
    <mergeCell ref="B28:D28"/>
    <mergeCell ref="B29:D29"/>
    <mergeCell ref="B30:D30"/>
    <mergeCell ref="B31:D31"/>
    <mergeCell ref="B23:D23"/>
    <mergeCell ref="B24:D24"/>
    <mergeCell ref="K14:M14"/>
    <mergeCell ref="E8:G8"/>
    <mergeCell ref="E9:G9"/>
    <mergeCell ref="B26:D26"/>
    <mergeCell ref="F16:G16"/>
    <mergeCell ref="F17:G17"/>
    <mergeCell ref="N33:P33"/>
    <mergeCell ref="B34:D34"/>
    <mergeCell ref="B35:D35"/>
    <mergeCell ref="K20:M20"/>
    <mergeCell ref="F19:G19"/>
    <mergeCell ref="F20:G20"/>
    <mergeCell ref="H17:J17"/>
    <mergeCell ref="F39:G39"/>
    <mergeCell ref="H39:J39"/>
    <mergeCell ref="K39:M39"/>
    <mergeCell ref="H15:J15"/>
    <mergeCell ref="K15:M15"/>
    <mergeCell ref="B33:D33"/>
    <mergeCell ref="E33:G33"/>
    <mergeCell ref="H33:J33"/>
    <mergeCell ref="K33:M33"/>
    <mergeCell ref="B25:D25"/>
    <mergeCell ref="K46:M46"/>
    <mergeCell ref="F47:G47"/>
    <mergeCell ref="K47:M47"/>
    <mergeCell ref="B36:D36"/>
    <mergeCell ref="H21:J21"/>
    <mergeCell ref="K21:M21"/>
    <mergeCell ref="F42:G42"/>
    <mergeCell ref="H42:J42"/>
    <mergeCell ref="K42:M42"/>
    <mergeCell ref="E38:P38"/>
    <mergeCell ref="F43:G43"/>
    <mergeCell ref="H43:J43"/>
    <mergeCell ref="K43:M43"/>
    <mergeCell ref="F44:G44"/>
    <mergeCell ref="K44:M44"/>
    <mergeCell ref="N49:P49"/>
    <mergeCell ref="H47:J47"/>
    <mergeCell ref="F45:G45"/>
    <mergeCell ref="K45:M45"/>
    <mergeCell ref="F46:G46"/>
    <mergeCell ref="B50:D50"/>
    <mergeCell ref="B51:D51"/>
    <mergeCell ref="B52:D52"/>
    <mergeCell ref="B49:D49"/>
    <mergeCell ref="E49:G49"/>
    <mergeCell ref="K49:M49"/>
    <mergeCell ref="H49:J49"/>
    <mergeCell ref="N54:P54"/>
    <mergeCell ref="B55:D55"/>
    <mergeCell ref="B56:D56"/>
    <mergeCell ref="B57:D57"/>
    <mergeCell ref="B54:D54"/>
    <mergeCell ref="E54:G54"/>
    <mergeCell ref="H54:J54"/>
    <mergeCell ref="K54:M54"/>
    <mergeCell ref="N59:P59"/>
    <mergeCell ref="B60:D60"/>
    <mergeCell ref="B61:D61"/>
    <mergeCell ref="B62:D62"/>
    <mergeCell ref="B59:D59"/>
    <mergeCell ref="E59:G59"/>
    <mergeCell ref="H59:J59"/>
    <mergeCell ref="K59:M59"/>
    <mergeCell ref="H73:J73"/>
    <mergeCell ref="G64:J64"/>
    <mergeCell ref="H69:J69"/>
    <mergeCell ref="H70:J70"/>
    <mergeCell ref="H71:J71"/>
    <mergeCell ref="H72:J72"/>
    <mergeCell ref="H66:J66"/>
    <mergeCell ref="H67:J67"/>
    <mergeCell ref="H68:J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R53"/>
  <sheetViews>
    <sheetView showGridLines="0" zoomScalePageLayoutView="0" workbookViewId="0" topLeftCell="A1">
      <selection activeCell="E5" sqref="E5:G5"/>
    </sheetView>
  </sheetViews>
  <sheetFormatPr defaultColWidth="9.140625" defaultRowHeight="12.75"/>
  <cols>
    <col min="1" max="1" width="0.85546875" style="1" customWidth="1"/>
    <col min="2" max="2" width="6.7109375" style="3" customWidth="1"/>
    <col min="3" max="3" width="1.7109375" style="3" customWidth="1"/>
    <col min="4" max="5" width="6.7109375" style="29" customWidth="1"/>
    <col min="6" max="6" width="1.7109375" style="29" customWidth="1"/>
    <col min="7" max="8" width="6.7109375" style="29" customWidth="1"/>
    <col min="9" max="9" width="1.7109375" style="29" customWidth="1"/>
    <col min="10" max="11" width="6.7109375" style="29" customWidth="1"/>
    <col min="12" max="12" width="1.7109375" style="29" customWidth="1"/>
    <col min="13" max="13" width="6.7109375" style="29" customWidth="1"/>
    <col min="14" max="14" width="4.7109375" style="29" customWidth="1"/>
    <col min="15" max="15" width="1.7109375" style="29" customWidth="1"/>
    <col min="16" max="16" width="4.7109375" style="29" customWidth="1"/>
    <col min="17" max="18" width="6.7109375" style="29" customWidth="1"/>
  </cols>
  <sheetData>
    <row r="1" spans="4:18" ht="33.75">
      <c r="D1" s="254" t="s">
        <v>94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4:18" ht="15.75">
      <c r="D2" s="265" t="s">
        <v>113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ht="16.5" thickBot="1"/>
    <row r="4" spans="1:18" s="6" customFormat="1" ht="19.5" customHeight="1">
      <c r="A4" s="3"/>
      <c r="B4" s="3"/>
      <c r="C4" s="3"/>
      <c r="D4" s="229" t="s">
        <v>4</v>
      </c>
      <c r="E4" s="230"/>
      <c r="F4" s="230"/>
      <c r="G4" s="231"/>
      <c r="H4" s="147"/>
      <c r="I4" s="3"/>
      <c r="J4" s="229" t="s">
        <v>4</v>
      </c>
      <c r="K4" s="230"/>
      <c r="L4" s="230"/>
      <c r="M4" s="231"/>
      <c r="N4" s="3"/>
      <c r="O4" s="227" t="s">
        <v>5</v>
      </c>
      <c r="P4" s="212"/>
      <c r="Q4" s="212"/>
      <c r="R4" s="228"/>
    </row>
    <row r="5" spans="1:18" s="6" customFormat="1" ht="19.5" customHeight="1">
      <c r="A5" s="3"/>
      <c r="B5" s="3"/>
      <c r="C5" s="3"/>
      <c r="D5" s="125" t="s">
        <v>15</v>
      </c>
      <c r="E5" s="222"/>
      <c r="F5" s="222"/>
      <c r="G5" s="223"/>
      <c r="H5" s="3"/>
      <c r="I5" s="3"/>
      <c r="J5" s="125" t="s">
        <v>95</v>
      </c>
      <c r="K5" s="222"/>
      <c r="L5" s="222"/>
      <c r="M5" s="223"/>
      <c r="N5" s="3"/>
      <c r="O5" s="220" t="s">
        <v>6</v>
      </c>
      <c r="P5" s="221"/>
      <c r="Q5" s="221"/>
      <c r="R5" s="161">
        <v>3</v>
      </c>
    </row>
    <row r="6" spans="1:18" s="6" customFormat="1" ht="19.5" customHeight="1">
      <c r="A6" s="3"/>
      <c r="B6" s="3"/>
      <c r="C6" s="3"/>
      <c r="D6" s="125" t="s">
        <v>16</v>
      </c>
      <c r="E6" s="222"/>
      <c r="F6" s="222"/>
      <c r="G6" s="223"/>
      <c r="H6" s="3"/>
      <c r="I6" s="3"/>
      <c r="J6" s="125" t="s">
        <v>96</v>
      </c>
      <c r="K6" s="222"/>
      <c r="L6" s="222"/>
      <c r="M6" s="223"/>
      <c r="N6" s="3"/>
      <c r="O6" s="220" t="s">
        <v>7</v>
      </c>
      <c r="P6" s="221"/>
      <c r="Q6" s="221"/>
      <c r="R6" s="161">
        <v>1</v>
      </c>
    </row>
    <row r="7" spans="1:18" s="6" customFormat="1" ht="19.5" customHeight="1" thickBot="1">
      <c r="A7" s="3"/>
      <c r="B7" s="3"/>
      <c r="C7" s="3"/>
      <c r="D7" s="138" t="s">
        <v>18</v>
      </c>
      <c r="E7" s="207"/>
      <c r="F7" s="207"/>
      <c r="G7" s="208"/>
      <c r="H7" s="3"/>
      <c r="I7" s="3"/>
      <c r="J7" s="138" t="s">
        <v>97</v>
      </c>
      <c r="K7" s="207"/>
      <c r="L7" s="207"/>
      <c r="M7" s="208"/>
      <c r="N7" s="3"/>
      <c r="O7" s="205" t="s">
        <v>8</v>
      </c>
      <c r="P7" s="206"/>
      <c r="Q7" s="206"/>
      <c r="R7" s="162">
        <v>0</v>
      </c>
    </row>
    <row r="8" spans="1:18" s="6" customFormat="1" ht="19.5" customHeight="1">
      <c r="A8" s="3"/>
      <c r="B8" s="3"/>
      <c r="C8" s="3"/>
      <c r="D8" s="146" t="s">
        <v>17</v>
      </c>
      <c r="E8" s="255"/>
      <c r="F8" s="255"/>
      <c r="G8" s="256"/>
      <c r="H8" s="3"/>
      <c r="I8" s="3"/>
      <c r="J8" s="29"/>
      <c r="K8" s="29"/>
      <c r="L8" s="38"/>
      <c r="M8" s="38"/>
      <c r="N8" s="38"/>
      <c r="O8" s="143"/>
      <c r="P8" s="29"/>
      <c r="Q8" s="29"/>
      <c r="R8" s="3"/>
    </row>
    <row r="9" spans="1:18" s="6" customFormat="1" ht="19.5" customHeight="1">
      <c r="A9" s="3"/>
      <c r="B9" s="3"/>
      <c r="C9" s="3"/>
      <c r="D9" s="125" t="s">
        <v>19</v>
      </c>
      <c r="E9" s="222"/>
      <c r="F9" s="222"/>
      <c r="G9" s="223"/>
      <c r="H9" s="3"/>
      <c r="I9" s="3"/>
      <c r="J9" s="29"/>
      <c r="K9" s="29"/>
      <c r="L9" s="38"/>
      <c r="M9" s="38"/>
      <c r="N9" s="38"/>
      <c r="O9" s="143"/>
      <c r="P9" s="29"/>
      <c r="Q9" s="29"/>
      <c r="R9" s="3"/>
    </row>
    <row r="10" spans="1:18" s="6" customFormat="1" ht="19.5" customHeight="1" thickBot="1">
      <c r="A10" s="3"/>
      <c r="B10" s="3"/>
      <c r="C10" s="3"/>
      <c r="D10" s="138" t="s">
        <v>20</v>
      </c>
      <c r="E10" s="207"/>
      <c r="F10" s="207"/>
      <c r="G10" s="208"/>
      <c r="H10" s="3"/>
      <c r="I10" s="3"/>
      <c r="J10" s="29"/>
      <c r="K10" s="29"/>
      <c r="L10" s="38"/>
      <c r="M10" s="38"/>
      <c r="N10" s="38"/>
      <c r="O10" s="143"/>
      <c r="P10" s="29"/>
      <c r="Q10" s="29"/>
      <c r="R10" s="3"/>
    </row>
    <row r="11" ht="19.5" customHeight="1" thickBot="1"/>
    <row r="12" spans="1:18" s="6" customFormat="1" ht="19.5" customHeight="1">
      <c r="A12" s="3"/>
      <c r="B12" s="3"/>
      <c r="C12" s="3"/>
      <c r="D12" s="29"/>
      <c r="E12" s="229" t="s">
        <v>35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1"/>
      <c r="Q12" s="29"/>
      <c r="R12" s="29"/>
    </row>
    <row r="13" spans="1:18" s="6" customFormat="1" ht="19.5" customHeight="1">
      <c r="A13" s="3"/>
      <c r="B13" s="32" t="e">
        <f>IF(D13=1,Q24,IF(D14=1,Q25,Q26))</f>
        <v>#VALUE!</v>
      </c>
      <c r="C13" s="32" t="e">
        <f>RANK(B13,$B$13:$B$15)</f>
        <v>#VALUE!</v>
      </c>
      <c r="D13" s="47" t="e">
        <f>RANK(Q24,$Q$24:$Q$26)</f>
        <v>#VALUE!</v>
      </c>
      <c r="E13" s="99" t="s">
        <v>27</v>
      </c>
      <c r="F13" s="219" t="s">
        <v>21</v>
      </c>
      <c r="G13" s="219"/>
      <c r="H13" s="209">
        <f>E23</f>
      </c>
      <c r="I13" s="209"/>
      <c r="J13" s="209"/>
      <c r="K13" s="210">
        <f>H23</f>
      </c>
      <c r="L13" s="210"/>
      <c r="M13" s="210"/>
      <c r="N13" s="30"/>
      <c r="O13" s="14" t="s">
        <v>0</v>
      </c>
      <c r="P13" s="31"/>
      <c r="Q13" s="305" t="e">
        <f>IF(D13=1,B24,IF(D14=1,B25,B26))</f>
        <v>#VALUE!</v>
      </c>
      <c r="R13" s="306"/>
    </row>
    <row r="14" spans="1:18" s="6" customFormat="1" ht="19.5" customHeight="1">
      <c r="A14" s="3"/>
      <c r="B14" s="32" t="e">
        <f>IF(D16=1,Q29,IF(D17=1,Q30,Q31))</f>
        <v>#VALUE!</v>
      </c>
      <c r="C14" s="32" t="e">
        <f>RANK(B14,$B$13:$B$15)</f>
        <v>#VALUE!</v>
      </c>
      <c r="D14" s="47" t="e">
        <f>RANK(Q25,$Q$24:$Q$26)</f>
        <v>#VALUE!</v>
      </c>
      <c r="E14" s="99" t="s">
        <v>28</v>
      </c>
      <c r="F14" s="219" t="s">
        <v>22</v>
      </c>
      <c r="G14" s="219"/>
      <c r="H14" s="209">
        <f>E28</f>
      </c>
      <c r="I14" s="209"/>
      <c r="J14" s="209"/>
      <c r="K14" s="210">
        <f>H28</f>
      </c>
      <c r="L14" s="210"/>
      <c r="M14" s="210"/>
      <c r="N14" s="39"/>
      <c r="O14" s="14" t="s">
        <v>0</v>
      </c>
      <c r="P14" s="31"/>
      <c r="Q14" s="305" t="e">
        <f>IF(D16=1,B29,IF(D17=1,B30,B31))</f>
        <v>#VALUE!</v>
      </c>
      <c r="R14" s="306"/>
    </row>
    <row r="15" spans="1:18" s="6" customFormat="1" ht="19.5" customHeight="1" thickBot="1">
      <c r="A15" s="3"/>
      <c r="B15" s="32" t="e">
        <f>IF(D19=1,Q34,IF(D20=1,Q35,Q36))</f>
        <v>#VALUE!</v>
      </c>
      <c r="C15" s="32" t="e">
        <f>RANK(B15,$B$13:$B$15)</f>
        <v>#VALUE!</v>
      </c>
      <c r="D15" s="47" t="e">
        <f>RANK(Q26,$Q$24:$Q$26)</f>
        <v>#VALUE!</v>
      </c>
      <c r="E15" s="148" t="s">
        <v>29</v>
      </c>
      <c r="F15" s="304" t="s">
        <v>100</v>
      </c>
      <c r="G15" s="304"/>
      <c r="H15" s="302">
        <f>E33</f>
      </c>
      <c r="I15" s="302"/>
      <c r="J15" s="302"/>
      <c r="K15" s="303">
        <f>H33</f>
      </c>
      <c r="L15" s="303"/>
      <c r="M15" s="303"/>
      <c r="N15" s="149"/>
      <c r="O15" s="150" t="s">
        <v>0</v>
      </c>
      <c r="P15" s="151"/>
      <c r="Q15" s="305" t="e">
        <f>IF(D19=1,B34,IF(D20=1,B35,B36))</f>
        <v>#VALUE!</v>
      </c>
      <c r="R15" s="306"/>
    </row>
    <row r="16" spans="1:18" s="6" customFormat="1" ht="19.5" customHeight="1">
      <c r="A16" s="3"/>
      <c r="B16" s="32" t="e">
        <f>IF(D13=2,Q24,IF(D14=2,Q25,Q26))</f>
        <v>#VALUE!</v>
      </c>
      <c r="C16" s="32" t="e">
        <f>RANK(B16,$B$16:$B$18)</f>
        <v>#VALUE!</v>
      </c>
      <c r="D16" s="47" t="e">
        <f>RANK(Q29,$Q$29:$Q$31)</f>
        <v>#VALUE!</v>
      </c>
      <c r="E16" s="45" t="s">
        <v>31</v>
      </c>
      <c r="F16" s="300" t="s">
        <v>23</v>
      </c>
      <c r="G16" s="300"/>
      <c r="H16" s="301">
        <f>E23</f>
      </c>
      <c r="I16" s="301"/>
      <c r="J16" s="301"/>
      <c r="K16" s="297">
        <f>K23</f>
      </c>
      <c r="L16" s="297"/>
      <c r="M16" s="297"/>
      <c r="N16" s="152"/>
      <c r="O16" s="153" t="s">
        <v>0</v>
      </c>
      <c r="P16" s="154"/>
      <c r="Q16" s="305" t="e">
        <f>IF(D13=2,B24,IF(D14=2,B25,B26))</f>
        <v>#VALUE!</v>
      </c>
      <c r="R16" s="306"/>
    </row>
    <row r="17" spans="1:18" s="6" customFormat="1" ht="19.5" customHeight="1">
      <c r="A17" s="3"/>
      <c r="B17" s="32" t="e">
        <f>IF(D16=2,Q29,IF(D17=2,Q30,Q31))</f>
        <v>#VALUE!</v>
      </c>
      <c r="C17" s="32" t="e">
        <f>RANK(B17,$B$16:$B$18)</f>
        <v>#VALUE!</v>
      </c>
      <c r="D17" s="47" t="e">
        <f>RANK(Q30,$Q$29:$Q$31)</f>
        <v>#VALUE!</v>
      </c>
      <c r="E17" s="99" t="s">
        <v>32</v>
      </c>
      <c r="F17" s="257" t="s">
        <v>24</v>
      </c>
      <c r="G17" s="258"/>
      <c r="H17" s="209">
        <f>E28</f>
      </c>
      <c r="I17" s="209"/>
      <c r="J17" s="209"/>
      <c r="K17" s="210">
        <f>K28</f>
      </c>
      <c r="L17" s="210"/>
      <c r="M17" s="210"/>
      <c r="N17" s="30"/>
      <c r="O17" s="14" t="s">
        <v>0</v>
      </c>
      <c r="P17" s="31"/>
      <c r="Q17" s="305" t="e">
        <f>IF(D16=2,B29,IF(D17=2,B30,B31))</f>
        <v>#VALUE!</v>
      </c>
      <c r="R17" s="306"/>
    </row>
    <row r="18" spans="1:18" s="6" customFormat="1" ht="19.5" customHeight="1" thickBot="1">
      <c r="A18" s="3"/>
      <c r="B18" s="32" t="e">
        <f>IF(D19=2,Q34,IF(D20=2,Q35,Q36))</f>
        <v>#VALUE!</v>
      </c>
      <c r="C18" s="32" t="e">
        <f>RANK(B18,$B$16:$B$18)</f>
        <v>#VALUE!</v>
      </c>
      <c r="D18" s="47" t="e">
        <f>RANK(Q31,$Q$29:$Q$31)</f>
        <v>#VALUE!</v>
      </c>
      <c r="E18" s="102" t="s">
        <v>33</v>
      </c>
      <c r="F18" s="259" t="s">
        <v>99</v>
      </c>
      <c r="G18" s="260"/>
      <c r="H18" s="204">
        <f>E33</f>
      </c>
      <c r="I18" s="204"/>
      <c r="J18" s="204"/>
      <c r="K18" s="213">
        <f>K33</f>
      </c>
      <c r="L18" s="213"/>
      <c r="M18" s="213"/>
      <c r="N18" s="33"/>
      <c r="O18" s="25" t="s">
        <v>0</v>
      </c>
      <c r="P18" s="34"/>
      <c r="Q18" s="305" t="e">
        <f>IF(D19=2,B34,IF(D20=2,B35,B36))</f>
        <v>#VALUE!</v>
      </c>
      <c r="R18" s="306"/>
    </row>
    <row r="19" spans="1:18" s="6" customFormat="1" ht="19.5" customHeight="1">
      <c r="A19" s="3"/>
      <c r="B19" s="32" t="e">
        <f>IF(D13=3,Q24,IF(D14=3,Q25,Q26))</f>
        <v>#VALUE!</v>
      </c>
      <c r="C19" s="32" t="e">
        <f>RANK(B19,$B$19:$B$21)</f>
        <v>#VALUE!</v>
      </c>
      <c r="D19" s="47" t="e">
        <f>RANK(Q34,$Q$34:$Q$36)</f>
        <v>#VALUE!</v>
      </c>
      <c r="E19" s="45" t="s">
        <v>37</v>
      </c>
      <c r="F19" s="295" t="s">
        <v>25</v>
      </c>
      <c r="G19" s="296"/>
      <c r="H19" s="301">
        <f>H23</f>
      </c>
      <c r="I19" s="301"/>
      <c r="J19" s="301"/>
      <c r="K19" s="297">
        <f>K23</f>
      </c>
      <c r="L19" s="297"/>
      <c r="M19" s="297"/>
      <c r="N19" s="152"/>
      <c r="O19" s="153" t="s">
        <v>0</v>
      </c>
      <c r="P19" s="154"/>
      <c r="Q19" s="305" t="e">
        <f>IF(D13=3,B24,IF(D14=3,B25,B26))</f>
        <v>#VALUE!</v>
      </c>
      <c r="R19" s="306"/>
    </row>
    <row r="20" spans="1:18" s="6" customFormat="1" ht="19.5" customHeight="1">
      <c r="A20" s="3"/>
      <c r="B20" s="32" t="e">
        <f>IF(D16=3,Q29,IF(D17=3,Q30,Q31))</f>
        <v>#VALUE!</v>
      </c>
      <c r="C20" s="32" t="e">
        <f>RANK(B20,$B$19:$B$21)</f>
        <v>#VALUE!</v>
      </c>
      <c r="D20" s="47" t="e">
        <f>RANK(Q35,$Q$34:$Q$36)</f>
        <v>#VALUE!</v>
      </c>
      <c r="E20" s="99" t="s">
        <v>38</v>
      </c>
      <c r="F20" s="257" t="s">
        <v>26</v>
      </c>
      <c r="G20" s="258"/>
      <c r="H20" s="209">
        <f>H28</f>
      </c>
      <c r="I20" s="209"/>
      <c r="J20" s="209"/>
      <c r="K20" s="210">
        <f>K28</f>
      </c>
      <c r="L20" s="210"/>
      <c r="M20" s="210"/>
      <c r="N20" s="30"/>
      <c r="O20" s="14" t="s">
        <v>0</v>
      </c>
      <c r="P20" s="31"/>
      <c r="Q20" s="305" t="e">
        <f>IF(D16=3,B29,IF(D17=3,B30,B31))</f>
        <v>#VALUE!</v>
      </c>
      <c r="R20" s="306"/>
    </row>
    <row r="21" spans="1:18" s="6" customFormat="1" ht="19.5" customHeight="1" thickBot="1">
      <c r="A21" s="3"/>
      <c r="B21" s="32" t="e">
        <f>IF(D19=3,Q34,IF(D20=3,Q35,Q36))</f>
        <v>#VALUE!</v>
      </c>
      <c r="C21" s="32" t="e">
        <f>RANK(B21,$B$19:$B$21)</f>
        <v>#VALUE!</v>
      </c>
      <c r="D21" s="47" t="e">
        <f>RANK(Q36,$Q$34:$Q$36)</f>
        <v>#VALUE!</v>
      </c>
      <c r="E21" s="102" t="s">
        <v>39</v>
      </c>
      <c r="F21" s="298" t="s">
        <v>98</v>
      </c>
      <c r="G21" s="299"/>
      <c r="H21" s="204">
        <f>H33</f>
      </c>
      <c r="I21" s="204"/>
      <c r="J21" s="204"/>
      <c r="K21" s="213">
        <f>K33</f>
      </c>
      <c r="L21" s="213"/>
      <c r="M21" s="213"/>
      <c r="N21" s="33"/>
      <c r="O21" s="25" t="s">
        <v>0</v>
      </c>
      <c r="P21" s="34"/>
      <c r="Q21" s="305" t="e">
        <f>IF(D19=3,B34,IF(D20=3,B35,B36))</f>
        <v>#VALUE!</v>
      </c>
      <c r="R21" s="306"/>
    </row>
    <row r="22" ht="19.5" customHeight="1" thickBot="1"/>
    <row r="23" spans="1:18" s="6" customFormat="1" ht="19.5" customHeight="1">
      <c r="A23" s="3"/>
      <c r="B23" s="293" t="s">
        <v>30</v>
      </c>
      <c r="C23" s="294"/>
      <c r="D23" s="294"/>
      <c r="E23" s="203">
        <f>IF(E5="","",E5)</f>
      </c>
      <c r="F23" s="203"/>
      <c r="G23" s="203"/>
      <c r="H23" s="203">
        <f>IF(E6="","",E6)</f>
      </c>
      <c r="I23" s="203"/>
      <c r="J23" s="203"/>
      <c r="K23" s="203">
        <f>IF(E7="","",E7)</f>
      </c>
      <c r="L23" s="203"/>
      <c r="M23" s="203"/>
      <c r="N23" s="212" t="s">
        <v>1</v>
      </c>
      <c r="O23" s="212"/>
      <c r="P23" s="212"/>
      <c r="Q23" s="4" t="s">
        <v>2</v>
      </c>
      <c r="R23" s="5" t="s">
        <v>3</v>
      </c>
    </row>
    <row r="24" spans="1:18" s="6" customFormat="1" ht="19.5" customHeight="1">
      <c r="A24" s="3"/>
      <c r="B24" s="198">
        <f>E23</f>
      </c>
      <c r="C24" s="199"/>
      <c r="D24" s="199"/>
      <c r="E24" s="7">
        <f>IF(H24&gt;J24,R5,IF(H24=J24,R6,R7))</f>
        <v>1</v>
      </c>
      <c r="F24" s="9">
        <f>IF(K24&gt;M24,R5,IF(K24=M24,R6,R7))</f>
        <v>1</v>
      </c>
      <c r="G24" s="9" t="e">
        <f>0.001*(N24-P24)+0.00001*N24</f>
        <v>#VALUE!</v>
      </c>
      <c r="H24" s="10">
        <f>IF(P13="","",N13)</f>
      </c>
      <c r="I24" s="11" t="s">
        <v>0</v>
      </c>
      <c r="J24" s="12">
        <f>IF(P13="","",P13)</f>
      </c>
      <c r="K24" s="10">
        <f>IF(P16="","",N16)</f>
      </c>
      <c r="L24" s="11" t="s">
        <v>0</v>
      </c>
      <c r="M24" s="12">
        <f>IF(P16="","",P16)</f>
      </c>
      <c r="N24" s="13">
        <f>IF(P19="","",H24+K24)</f>
      </c>
      <c r="O24" s="14" t="s">
        <v>0</v>
      </c>
      <c r="P24" s="15">
        <f>IF(P19="","",J24+M24)</f>
      </c>
      <c r="Q24" s="16">
        <f>IF(P19="","",SUM(E24:G24))</f>
      </c>
      <c r="R24" s="17">
        <f>IF(P19="","",D13&amp;".")</f>
      </c>
    </row>
    <row r="25" spans="1:18" s="6" customFormat="1" ht="19.5" customHeight="1">
      <c r="A25" s="3"/>
      <c r="B25" s="198">
        <f>H23</f>
      </c>
      <c r="C25" s="199"/>
      <c r="D25" s="199"/>
      <c r="E25" s="10">
        <f>J24</f>
      </c>
      <c r="F25" s="11" t="s">
        <v>0</v>
      </c>
      <c r="G25" s="12">
        <f>H24</f>
      </c>
      <c r="H25" s="7">
        <f>IF(E25&gt;G25,R5,IF(E25=G25,R6,R7))</f>
        <v>1</v>
      </c>
      <c r="I25" s="9">
        <f>IF(K25&gt;M25,R5,IF(K25=M25,R6,R7))</f>
        <v>1</v>
      </c>
      <c r="J25" s="9" t="e">
        <f>0.001*(N25-P25)+0.00001*N25</f>
        <v>#VALUE!</v>
      </c>
      <c r="K25" s="10">
        <f>IF(P19="","",N19)</f>
      </c>
      <c r="L25" s="11" t="s">
        <v>0</v>
      </c>
      <c r="M25" s="12">
        <f>IF(P19="","",P19)</f>
      </c>
      <c r="N25" s="13">
        <f>IF(P19="","",E25+K25)</f>
      </c>
      <c r="O25" s="14" t="s">
        <v>0</v>
      </c>
      <c r="P25" s="15">
        <f>IF(P19="","",G25+M25)</f>
      </c>
      <c r="Q25" s="16">
        <f>IF(P19="","",SUM(H25:J25))</f>
      </c>
      <c r="R25" s="17">
        <f>IF(P19="","",D14&amp;".")</f>
      </c>
    </row>
    <row r="26" spans="1:18" s="6" customFormat="1" ht="19.5" customHeight="1" thickBot="1">
      <c r="A26" s="3"/>
      <c r="B26" s="291">
        <f>K23</f>
      </c>
      <c r="C26" s="292"/>
      <c r="D26" s="292"/>
      <c r="E26" s="18">
        <f>M24</f>
      </c>
      <c r="F26" s="19" t="s">
        <v>0</v>
      </c>
      <c r="G26" s="20">
        <f>K24</f>
      </c>
      <c r="H26" s="18">
        <f>M25</f>
      </c>
      <c r="I26" s="19" t="s">
        <v>0</v>
      </c>
      <c r="J26" s="20">
        <f>K25</f>
      </c>
      <c r="K26" s="21">
        <f>IF(E26&gt;G26,R5,IF(E26=G26,R6,R7))</f>
        <v>1</v>
      </c>
      <c r="L26" s="23">
        <f>IF(H26&gt;J26,R5,IF(H26=J26,R6,R7))</f>
        <v>1</v>
      </c>
      <c r="M26" s="23" t="e">
        <f>0.001*(N26-P26)+0.00001*N26</f>
        <v>#VALUE!</v>
      </c>
      <c r="N26" s="24">
        <f>IF(P19="","",E26+H26)</f>
      </c>
      <c r="O26" s="25" t="s">
        <v>0</v>
      </c>
      <c r="P26" s="26">
        <f>IF(P19="","",G26+J26)</f>
      </c>
      <c r="Q26" s="27">
        <f>IF(P19="","",SUM(K26:M26))</f>
      </c>
      <c r="R26" s="28">
        <f>IF(P19="","",D15&amp;".")</f>
      </c>
    </row>
    <row r="27" ht="4.5" customHeight="1" thickBot="1"/>
    <row r="28" spans="1:18" s="6" customFormat="1" ht="19.5" customHeight="1">
      <c r="A28" s="3"/>
      <c r="B28" s="293" t="s">
        <v>34</v>
      </c>
      <c r="C28" s="294"/>
      <c r="D28" s="294"/>
      <c r="E28" s="203">
        <f>IF(E8="","",E8)</f>
      </c>
      <c r="F28" s="203"/>
      <c r="G28" s="203"/>
      <c r="H28" s="203">
        <f>IF(E9="","",E9)</f>
      </c>
      <c r="I28" s="203"/>
      <c r="J28" s="203"/>
      <c r="K28" s="203">
        <f>IF(E10="","",E10)</f>
      </c>
      <c r="L28" s="203"/>
      <c r="M28" s="203"/>
      <c r="N28" s="212" t="s">
        <v>1</v>
      </c>
      <c r="O28" s="212"/>
      <c r="P28" s="212"/>
      <c r="Q28" s="4" t="s">
        <v>2</v>
      </c>
      <c r="R28" s="5" t="s">
        <v>3</v>
      </c>
    </row>
    <row r="29" spans="1:18" s="6" customFormat="1" ht="19.5" customHeight="1">
      <c r="A29" s="3"/>
      <c r="B29" s="198">
        <f>E28</f>
      </c>
      <c r="C29" s="199"/>
      <c r="D29" s="199"/>
      <c r="E29" s="7">
        <f>IF(H29&gt;J29,R5,IF(H29=J29,R6,R7))</f>
        <v>1</v>
      </c>
      <c r="F29" s="9">
        <f>IF(K29&gt;M29,R5,IF(K29=M29,R6,R7))</f>
        <v>1</v>
      </c>
      <c r="G29" s="9" t="e">
        <f>0.001*(N29-P29)+0.00001*N29</f>
        <v>#VALUE!</v>
      </c>
      <c r="H29" s="10">
        <f>IF(P14="","",N14)</f>
      </c>
      <c r="I29" s="11" t="s">
        <v>0</v>
      </c>
      <c r="J29" s="12">
        <f>IF(P14="","",P14)</f>
      </c>
      <c r="K29" s="10">
        <f>IF(P17="","",N17)</f>
      </c>
      <c r="L29" s="11" t="s">
        <v>0</v>
      </c>
      <c r="M29" s="12">
        <f>IF(P17="","",P17)</f>
      </c>
      <c r="N29" s="13">
        <f>IF(P20="","",H29+K29)</f>
      </c>
      <c r="O29" s="14" t="s">
        <v>0</v>
      </c>
      <c r="P29" s="15">
        <f>IF(P20="","",J29+M29)</f>
      </c>
      <c r="Q29" s="16">
        <f>IF(P20="","",SUM(E29:G29))</f>
      </c>
      <c r="R29" s="17">
        <f>IF(P20="","",D16&amp;".")</f>
      </c>
    </row>
    <row r="30" spans="1:18" s="6" customFormat="1" ht="19.5" customHeight="1">
      <c r="A30" s="3"/>
      <c r="B30" s="198">
        <f>H28</f>
      </c>
      <c r="C30" s="199"/>
      <c r="D30" s="199"/>
      <c r="E30" s="10">
        <f>J29</f>
      </c>
      <c r="F30" s="11" t="s">
        <v>0</v>
      </c>
      <c r="G30" s="12">
        <f>H29</f>
      </c>
      <c r="H30" s="7">
        <f>IF(E30&gt;G30,R5,IF(E30=G30,R6,R7))</f>
        <v>1</v>
      </c>
      <c r="I30" s="9">
        <f>IF(K30&gt;M30,R5,IF(K30=M30,R6,R7))</f>
        <v>1</v>
      </c>
      <c r="J30" s="9" t="e">
        <f>0.001*(N30-P30)+0.00001*N30</f>
        <v>#VALUE!</v>
      </c>
      <c r="K30" s="10">
        <f>IF(P20="","",N20)</f>
      </c>
      <c r="L30" s="11" t="s">
        <v>0</v>
      </c>
      <c r="M30" s="12">
        <f>IF(P20="","",P20)</f>
      </c>
      <c r="N30" s="13">
        <f>IF(P20="","",E30+K30)</f>
      </c>
      <c r="O30" s="14" t="s">
        <v>0</v>
      </c>
      <c r="P30" s="15">
        <f>IF(P20="","",G30+M30)</f>
      </c>
      <c r="Q30" s="16">
        <f>IF(P20="","",SUM(H30:J30))</f>
      </c>
      <c r="R30" s="17">
        <f>IF(P20="","",D17&amp;".")</f>
      </c>
    </row>
    <row r="31" spans="1:18" s="6" customFormat="1" ht="19.5" customHeight="1" thickBot="1">
      <c r="A31" s="3"/>
      <c r="B31" s="291">
        <f>K28</f>
      </c>
      <c r="C31" s="292"/>
      <c r="D31" s="292"/>
      <c r="E31" s="18">
        <f>M29</f>
      </c>
      <c r="F31" s="19" t="s">
        <v>0</v>
      </c>
      <c r="G31" s="20">
        <f>K29</f>
      </c>
      <c r="H31" s="18">
        <f>M30</f>
      </c>
      <c r="I31" s="19" t="s">
        <v>0</v>
      </c>
      <c r="J31" s="20">
        <f>K30</f>
      </c>
      <c r="K31" s="21">
        <f>IF(E31&gt;G31,R5,IF(E31=G31,R6,R7))</f>
        <v>1</v>
      </c>
      <c r="L31" s="23">
        <f>IF(H31&gt;J31,R5,IF(H31=J31,R6,R7))</f>
        <v>1</v>
      </c>
      <c r="M31" s="23" t="e">
        <f>0.001*(N31-P31)+0.00001*N31</f>
        <v>#VALUE!</v>
      </c>
      <c r="N31" s="24">
        <f>IF(P20="","",E31+H31)</f>
      </c>
      <c r="O31" s="25" t="s">
        <v>0</v>
      </c>
      <c r="P31" s="26">
        <f>IF(P20="","",G31+J31)</f>
      </c>
      <c r="Q31" s="27">
        <f>IF(P20="","",SUM(K31:M31))</f>
      </c>
      <c r="R31" s="28">
        <f>IF(P20="","",D18&amp;".")</f>
      </c>
    </row>
    <row r="32" ht="4.5" customHeight="1" thickBot="1"/>
    <row r="33" spans="1:18" s="6" customFormat="1" ht="19.5" customHeight="1">
      <c r="A33" s="3"/>
      <c r="B33" s="293" t="s">
        <v>101</v>
      </c>
      <c r="C33" s="294"/>
      <c r="D33" s="294"/>
      <c r="E33" s="203">
        <f>IF(K5="","",K5)</f>
      </c>
      <c r="F33" s="203"/>
      <c r="G33" s="203"/>
      <c r="H33" s="203">
        <f>IF(K6="","",K6)</f>
      </c>
      <c r="I33" s="203"/>
      <c r="J33" s="203"/>
      <c r="K33" s="203">
        <f>IF(K7="","",K7)</f>
      </c>
      <c r="L33" s="203"/>
      <c r="M33" s="203"/>
      <c r="N33" s="212" t="s">
        <v>1</v>
      </c>
      <c r="O33" s="212"/>
      <c r="P33" s="212"/>
      <c r="Q33" s="4" t="s">
        <v>2</v>
      </c>
      <c r="R33" s="5" t="s">
        <v>3</v>
      </c>
    </row>
    <row r="34" spans="1:18" s="6" customFormat="1" ht="19.5" customHeight="1">
      <c r="A34" s="3"/>
      <c r="B34" s="198">
        <f>E33</f>
      </c>
      <c r="C34" s="199"/>
      <c r="D34" s="199"/>
      <c r="E34" s="7">
        <f>IF(H34&gt;J34,R5,IF(H34=J34,R6,R7))</f>
        <v>1</v>
      </c>
      <c r="F34" s="9">
        <f>IF(K34&gt;M34,R5,IF(K34=M34,R6,R7))</f>
        <v>1</v>
      </c>
      <c r="G34" s="9" t="e">
        <f>0.001*(N34-P34)+0.00001*N34</f>
        <v>#VALUE!</v>
      </c>
      <c r="H34" s="10">
        <f>IF(P15="","",N15)</f>
      </c>
      <c r="I34" s="11" t="s">
        <v>0</v>
      </c>
      <c r="J34" s="12">
        <f>IF(P15="","",P15)</f>
      </c>
      <c r="K34" s="10">
        <f>IF(P18="","",N18)</f>
      </c>
      <c r="L34" s="11" t="s">
        <v>0</v>
      </c>
      <c r="M34" s="12">
        <f>IF(P18="","",P18)</f>
      </c>
      <c r="N34" s="13">
        <f>IF(P21="","",H34+K34)</f>
      </c>
      <c r="O34" s="14" t="s">
        <v>0</v>
      </c>
      <c r="P34" s="15">
        <f>IF(P21="","",J34+M34)</f>
      </c>
      <c r="Q34" s="16">
        <f>IF(P21="","",SUM(E34:G34))</f>
      </c>
      <c r="R34" s="17">
        <f>IF(P21="","",D19&amp;".")</f>
      </c>
    </row>
    <row r="35" spans="1:18" s="6" customFormat="1" ht="19.5" customHeight="1">
      <c r="A35" s="3"/>
      <c r="B35" s="198">
        <f>H33</f>
      </c>
      <c r="C35" s="199"/>
      <c r="D35" s="199"/>
      <c r="E35" s="10">
        <f>J34</f>
      </c>
      <c r="F35" s="11" t="s">
        <v>0</v>
      </c>
      <c r="G35" s="12">
        <f>H34</f>
      </c>
      <c r="H35" s="7">
        <f>IF(E35&gt;G35,R5,IF(E35=G35,R6,R7))</f>
        <v>1</v>
      </c>
      <c r="I35" s="9">
        <f>IF(K35&gt;M35,R5,IF(K35=M35,R6,R7))</f>
        <v>1</v>
      </c>
      <c r="J35" s="9" t="e">
        <f>0.001*(N35-P35)+0.00001*N35</f>
        <v>#VALUE!</v>
      </c>
      <c r="K35" s="10">
        <f>IF(P21="","",N21)</f>
      </c>
      <c r="L35" s="11" t="s">
        <v>0</v>
      </c>
      <c r="M35" s="12">
        <f>IF(P21="","",P21)</f>
      </c>
      <c r="N35" s="13">
        <f>IF(P21="","",E35+K35)</f>
      </c>
      <c r="O35" s="14" t="s">
        <v>0</v>
      </c>
      <c r="P35" s="15">
        <f>IF(P21="","",G35+M35)</f>
      </c>
      <c r="Q35" s="16">
        <f>IF(P21="","",SUM(H35:J35))</f>
      </c>
      <c r="R35" s="17">
        <f>IF(P21="","",D20&amp;".")</f>
      </c>
    </row>
    <row r="36" spans="1:18" s="6" customFormat="1" ht="19.5" customHeight="1" thickBot="1">
      <c r="A36" s="3"/>
      <c r="B36" s="291">
        <f>K33</f>
      </c>
      <c r="C36" s="292"/>
      <c r="D36" s="292"/>
      <c r="E36" s="18">
        <f>M34</f>
      </c>
      <c r="F36" s="19" t="s">
        <v>0</v>
      </c>
      <c r="G36" s="20">
        <f>K34</f>
      </c>
      <c r="H36" s="18">
        <f>M35</f>
      </c>
      <c r="I36" s="19" t="s">
        <v>0</v>
      </c>
      <c r="J36" s="20">
        <f>K35</f>
      </c>
      <c r="K36" s="21">
        <f>IF(E36&gt;G36,R5,IF(E36=G36,R6,R7))</f>
        <v>1</v>
      </c>
      <c r="L36" s="23">
        <f>IF(H36&gt;J36,R5,IF(H36=J36,R6,R7))</f>
        <v>1</v>
      </c>
      <c r="M36" s="23" t="e">
        <f>0.001*(N36-P36)+0.00001*N36</f>
        <v>#VALUE!</v>
      </c>
      <c r="N36" s="24">
        <f>IF(P21="","",E36+H36)</f>
      </c>
      <c r="O36" s="25" t="s">
        <v>0</v>
      </c>
      <c r="P36" s="26">
        <f>IF(P21="","",G36+J36)</f>
      </c>
      <c r="Q36" s="27">
        <f>IF(P21="","",SUM(K36:M36))</f>
      </c>
      <c r="R36" s="28">
        <f>IF(P21="","",D21&amp;".")</f>
      </c>
    </row>
    <row r="37" ht="19.5" customHeight="1" thickBot="1"/>
    <row r="38" spans="1:18" s="6" customFormat="1" ht="19.5" customHeight="1">
      <c r="A38" s="3"/>
      <c r="B38" s="3"/>
      <c r="C38" s="3"/>
      <c r="D38" s="29"/>
      <c r="E38" s="229" t="s">
        <v>116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1"/>
      <c r="Q38" s="29"/>
      <c r="R38" s="29"/>
    </row>
    <row r="39" spans="1:18" s="6" customFormat="1" ht="19.5" customHeight="1">
      <c r="A39" s="3"/>
      <c r="B39" s="3"/>
      <c r="C39" s="3"/>
      <c r="D39" s="47" t="e">
        <f>RANK(#REF!,$Q$24:$Q$26)</f>
        <v>#REF!</v>
      </c>
      <c r="E39" s="99" t="s">
        <v>27</v>
      </c>
      <c r="F39" s="219" t="s">
        <v>114</v>
      </c>
      <c r="G39" s="219"/>
      <c r="H39" s="209">
        <f>IF(P21="","",IF(C13=1,Q13,IF(C14=1,Q14,Q15)))</f>
      </c>
      <c r="I39" s="209"/>
      <c r="J39" s="209"/>
      <c r="K39" s="210">
        <f>IF(P21="","",IF(C16=1,Q16,IF(C17=1,Q17,Q18)))</f>
      </c>
      <c r="L39" s="210"/>
      <c r="M39" s="210"/>
      <c r="N39" s="30"/>
      <c r="O39" s="14" t="s">
        <v>0</v>
      </c>
      <c r="P39" s="31"/>
      <c r="Q39" s="32"/>
      <c r="R39" s="32"/>
    </row>
    <row r="40" spans="1:18" s="6" customFormat="1" ht="19.5" customHeight="1">
      <c r="A40" s="3"/>
      <c r="B40" s="3"/>
      <c r="C40" s="3"/>
      <c r="D40" s="47" t="e">
        <f>RANK(#REF!,$Q$24:$Q$26)</f>
        <v>#REF!</v>
      </c>
      <c r="E40" s="99" t="s">
        <v>28</v>
      </c>
      <c r="F40" s="219" t="s">
        <v>115</v>
      </c>
      <c r="G40" s="219"/>
      <c r="H40" s="209">
        <f>IF(P21="","",IF(C13=2,Q13,IF(C14=2,Q14,Q15)))</f>
      </c>
      <c r="I40" s="209"/>
      <c r="J40" s="209"/>
      <c r="K40" s="210">
        <f>IF(P21="","",IF(C13=3,Q13,IF(C14=3,Q14,Q15)))</f>
      </c>
      <c r="L40" s="210"/>
      <c r="M40" s="210"/>
      <c r="N40" s="39"/>
      <c r="O40" s="14" t="s">
        <v>0</v>
      </c>
      <c r="P40" s="31"/>
      <c r="Q40" s="32"/>
      <c r="R40" s="32"/>
    </row>
    <row r="41" spans="1:18" s="6" customFormat="1" ht="19.5" customHeight="1">
      <c r="A41" s="3"/>
      <c r="B41" s="3"/>
      <c r="C41" s="3"/>
      <c r="D41" s="47" t="e">
        <f>RANK(#REF!,$Q$24:$Q$26)</f>
        <v>#REF!</v>
      </c>
      <c r="E41" s="99" t="s">
        <v>29</v>
      </c>
      <c r="F41" s="219" t="s">
        <v>43</v>
      </c>
      <c r="G41" s="219"/>
      <c r="H41" s="209">
        <f>IF(P39="","",IF(N39&lt;P39,H39,K39))</f>
      </c>
      <c r="I41" s="209"/>
      <c r="J41" s="209"/>
      <c r="K41" s="210">
        <f>IF(P40="","",IF(N40&lt;P40,H40,K40))</f>
      </c>
      <c r="L41" s="210"/>
      <c r="M41" s="210"/>
      <c r="N41" s="39"/>
      <c r="O41" s="14" t="s">
        <v>0</v>
      </c>
      <c r="P41" s="31"/>
      <c r="Q41" s="32"/>
      <c r="R41" s="32"/>
    </row>
    <row r="42" spans="1:18" s="6" customFormat="1" ht="19.5" customHeight="1" thickBot="1">
      <c r="A42" s="3"/>
      <c r="B42" s="3"/>
      <c r="C42" s="3"/>
      <c r="D42" s="47" t="e">
        <f>RANK(#REF!,$Q$29:$Q$31)</f>
        <v>#REF!</v>
      </c>
      <c r="E42" s="101" t="s">
        <v>31</v>
      </c>
      <c r="F42" s="251" t="s">
        <v>46</v>
      </c>
      <c r="G42" s="251"/>
      <c r="H42" s="235">
        <f>IF(P39="","",IF(N39&lt;P39,K39,H39))</f>
      </c>
      <c r="I42" s="235"/>
      <c r="J42" s="235"/>
      <c r="K42" s="248">
        <f>IF(P40="","",IF(N40&lt;P40,K40,H40))</f>
      </c>
      <c r="L42" s="248"/>
      <c r="M42" s="248"/>
      <c r="N42" s="50"/>
      <c r="O42" s="43" t="s">
        <v>0</v>
      </c>
      <c r="P42" s="44"/>
      <c r="Q42" s="32"/>
      <c r="R42" s="32"/>
    </row>
    <row r="43" ht="19.5" customHeight="1" thickBot="1"/>
    <row r="44" spans="7:10" ht="19.5" customHeight="1">
      <c r="G44" s="227" t="s">
        <v>112</v>
      </c>
      <c r="H44" s="212"/>
      <c r="I44" s="212"/>
      <c r="J44" s="228"/>
    </row>
    <row r="45" spans="7:10" ht="19.5" customHeight="1">
      <c r="G45" s="99" t="s">
        <v>27</v>
      </c>
      <c r="H45" s="210">
        <f>IF(P42="","",IF(N42&gt;P42,H42,K42))</f>
      </c>
      <c r="I45" s="210"/>
      <c r="J45" s="263"/>
    </row>
    <row r="46" spans="7:10" ht="19.5" customHeight="1">
      <c r="G46" s="99" t="s">
        <v>28</v>
      </c>
      <c r="H46" s="210">
        <f>IF(P42="","",IF(N42&gt;P42,K42,H42))</f>
      </c>
      <c r="I46" s="210"/>
      <c r="J46" s="263"/>
    </row>
    <row r="47" spans="7:10" ht="19.5" customHeight="1">
      <c r="G47" s="99" t="s">
        <v>29</v>
      </c>
      <c r="H47" s="210">
        <f>IF(P41="","",IF(N41&gt;P41,H41,K41))</f>
      </c>
      <c r="I47" s="210"/>
      <c r="J47" s="263"/>
    </row>
    <row r="48" spans="7:10" ht="19.5" customHeight="1">
      <c r="G48" s="99" t="s">
        <v>31</v>
      </c>
      <c r="H48" s="210">
        <f>IF(P41="","",IF(N41&gt;P41,K41,H41))</f>
      </c>
      <c r="I48" s="210"/>
      <c r="J48" s="263"/>
    </row>
    <row r="49" spans="7:10" ht="19.5" customHeight="1">
      <c r="G49" s="99" t="s">
        <v>32</v>
      </c>
      <c r="H49" s="210">
        <f>IF(P21="","",IF(C16=2,Q16,IF(C17=2,Q17,Q18)))</f>
      </c>
      <c r="I49" s="210"/>
      <c r="J49" s="263"/>
    </row>
    <row r="50" spans="7:10" ht="19.5" customHeight="1">
      <c r="G50" s="99" t="s">
        <v>33</v>
      </c>
      <c r="H50" s="210">
        <f>IF(P21="","",IF(C16=3,Q16,IF(C17=3,Q17,Q18)))</f>
      </c>
      <c r="I50" s="210"/>
      <c r="J50" s="263"/>
    </row>
    <row r="51" spans="7:10" ht="19.5" customHeight="1">
      <c r="G51" s="99" t="s">
        <v>37</v>
      </c>
      <c r="H51" s="210">
        <f>IF(P21="","",IF(C19=1,Q19,IF(C20=1,Q20,Q21)))</f>
      </c>
      <c r="I51" s="210"/>
      <c r="J51" s="263"/>
    </row>
    <row r="52" spans="7:10" ht="19.5" customHeight="1">
      <c r="G52" s="99" t="s">
        <v>38</v>
      </c>
      <c r="H52" s="210">
        <f>IF(P21="","",IF(C19=2,Q19,IF(C20=2,Q20,Q21)))</f>
      </c>
      <c r="I52" s="210"/>
      <c r="J52" s="263"/>
    </row>
    <row r="53" spans="7:10" ht="19.5" customHeight="1" thickBot="1">
      <c r="G53" s="102" t="s">
        <v>39</v>
      </c>
      <c r="H53" s="213">
        <f>IF(P21="","",IF(C19=3,Q19,IF(C20=3,Q20,Q21)))</f>
      </c>
      <c r="I53" s="213"/>
      <c r="J53" s="264"/>
    </row>
  </sheetData>
  <sheetProtection sheet="1" objects="1" scenarios="1"/>
  <mergeCells count="101">
    <mergeCell ref="H53:J53"/>
    <mergeCell ref="G44:J44"/>
    <mergeCell ref="H49:J49"/>
    <mergeCell ref="H50:J50"/>
    <mergeCell ref="H51:J51"/>
    <mergeCell ref="H52:J52"/>
    <mergeCell ref="H46:J46"/>
    <mergeCell ref="H47:J47"/>
    <mergeCell ref="H48:J48"/>
    <mergeCell ref="Q17:R17"/>
    <mergeCell ref="Q18:R18"/>
    <mergeCell ref="Q19:R19"/>
    <mergeCell ref="Q20:R20"/>
    <mergeCell ref="Q13:R13"/>
    <mergeCell ref="Q14:R14"/>
    <mergeCell ref="Q15:R15"/>
    <mergeCell ref="Q16:R16"/>
    <mergeCell ref="Q21:R21"/>
    <mergeCell ref="B36:D36"/>
    <mergeCell ref="H21:J21"/>
    <mergeCell ref="K21:M21"/>
    <mergeCell ref="N33:P33"/>
    <mergeCell ref="B34:D34"/>
    <mergeCell ref="B35:D35"/>
    <mergeCell ref="B31:D31"/>
    <mergeCell ref="F42:G42"/>
    <mergeCell ref="H42:J42"/>
    <mergeCell ref="K42:M42"/>
    <mergeCell ref="E38:P38"/>
    <mergeCell ref="F39:G39"/>
    <mergeCell ref="H39:J39"/>
    <mergeCell ref="K39:M39"/>
    <mergeCell ref="F41:G41"/>
    <mergeCell ref="H41:J41"/>
    <mergeCell ref="K41:M41"/>
    <mergeCell ref="H15:J15"/>
    <mergeCell ref="K15:M15"/>
    <mergeCell ref="B33:D33"/>
    <mergeCell ref="E33:G33"/>
    <mergeCell ref="H33:J33"/>
    <mergeCell ref="K33:M33"/>
    <mergeCell ref="B25:D25"/>
    <mergeCell ref="B26:D26"/>
    <mergeCell ref="F16:G16"/>
    <mergeCell ref="F17:G17"/>
    <mergeCell ref="K7:M7"/>
    <mergeCell ref="B28:D28"/>
    <mergeCell ref="B29:D29"/>
    <mergeCell ref="B30:D30"/>
    <mergeCell ref="B23:D23"/>
    <mergeCell ref="B24:D24"/>
    <mergeCell ref="K14:M14"/>
    <mergeCell ref="E8:G8"/>
    <mergeCell ref="E9:G9"/>
    <mergeCell ref="E10:G10"/>
    <mergeCell ref="D4:G4"/>
    <mergeCell ref="J4:M4"/>
    <mergeCell ref="F21:G21"/>
    <mergeCell ref="F18:G18"/>
    <mergeCell ref="H18:J18"/>
    <mergeCell ref="K18:M18"/>
    <mergeCell ref="F15:G15"/>
    <mergeCell ref="H13:J13"/>
    <mergeCell ref="K13:M13"/>
    <mergeCell ref="H14:J14"/>
    <mergeCell ref="D1:R1"/>
    <mergeCell ref="E7:G7"/>
    <mergeCell ref="K23:M23"/>
    <mergeCell ref="N23:P23"/>
    <mergeCell ref="K16:M16"/>
    <mergeCell ref="E23:G23"/>
    <mergeCell ref="H23:J23"/>
    <mergeCell ref="H16:J16"/>
    <mergeCell ref="O7:Q7"/>
    <mergeCell ref="O4:R4"/>
    <mergeCell ref="O5:Q5"/>
    <mergeCell ref="O6:Q6"/>
    <mergeCell ref="E5:G5"/>
    <mergeCell ref="E6:G6"/>
    <mergeCell ref="K5:M5"/>
    <mergeCell ref="K6:M6"/>
    <mergeCell ref="F14:G14"/>
    <mergeCell ref="F13:G13"/>
    <mergeCell ref="E12:P12"/>
    <mergeCell ref="H45:J45"/>
    <mergeCell ref="E28:G28"/>
    <mergeCell ref="H28:J28"/>
    <mergeCell ref="K28:M28"/>
    <mergeCell ref="N28:P28"/>
    <mergeCell ref="H20:J20"/>
    <mergeCell ref="K20:M20"/>
    <mergeCell ref="D2:R2"/>
    <mergeCell ref="F40:G40"/>
    <mergeCell ref="H40:J40"/>
    <mergeCell ref="K40:M40"/>
    <mergeCell ref="F19:G19"/>
    <mergeCell ref="F20:G20"/>
    <mergeCell ref="H17:J17"/>
    <mergeCell ref="K17:M17"/>
    <mergeCell ref="H19:J19"/>
    <mergeCell ref="K19:M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8"/>
  <sheetViews>
    <sheetView showGridLines="0" zoomScalePageLayoutView="0" workbookViewId="0" topLeftCell="A1">
      <selection activeCell="H4" sqref="H4:J4"/>
    </sheetView>
  </sheetViews>
  <sheetFormatPr defaultColWidth="9.140625" defaultRowHeight="12.75"/>
  <cols>
    <col min="1" max="1" width="0.85546875" style="92" customWidth="1"/>
    <col min="2" max="2" width="6.7109375" style="92" customWidth="1"/>
    <col min="3" max="3" width="1.7109375" style="92" customWidth="1"/>
    <col min="4" max="5" width="6.7109375" style="2" customWidth="1"/>
    <col min="6" max="6" width="1.7109375" style="2" customWidth="1"/>
    <col min="7" max="8" width="6.7109375" style="2" customWidth="1"/>
    <col min="9" max="9" width="1.7109375" style="2" customWidth="1"/>
    <col min="10" max="11" width="6.7109375" style="2" customWidth="1"/>
    <col min="12" max="12" width="1.7109375" style="2" customWidth="1"/>
    <col min="13" max="13" width="6.7109375" style="2" customWidth="1"/>
    <col min="14" max="14" width="4.7109375" style="2" customWidth="1"/>
    <col min="15" max="15" width="1.7109375" style="2" customWidth="1"/>
    <col min="16" max="16" width="4.7109375" style="2" customWidth="1"/>
    <col min="17" max="18" width="6.7109375" style="2" customWidth="1"/>
    <col min="19" max="19" width="9.140625" style="91" customWidth="1"/>
  </cols>
  <sheetData>
    <row r="1" spans="1:18" ht="33.75">
      <c r="A1" s="90"/>
      <c r="B1" s="90"/>
      <c r="C1" s="90"/>
      <c r="D1" s="215" t="s">
        <v>13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ht="16.5" thickBot="1"/>
    <row r="3" spans="1:19" s="6" customFormat="1" ht="19.5" customHeight="1">
      <c r="A3" s="93"/>
      <c r="B3" s="93"/>
      <c r="C3" s="93"/>
      <c r="D3" s="29"/>
      <c r="E3" s="29"/>
      <c r="F3" s="227" t="s">
        <v>4</v>
      </c>
      <c r="G3" s="212"/>
      <c r="H3" s="212"/>
      <c r="I3" s="212"/>
      <c r="J3" s="228"/>
      <c r="K3" s="29"/>
      <c r="L3" s="29"/>
      <c r="M3" s="227" t="s">
        <v>5</v>
      </c>
      <c r="N3" s="212"/>
      <c r="O3" s="212"/>
      <c r="P3" s="228"/>
      <c r="Q3" s="29"/>
      <c r="R3" s="29"/>
      <c r="S3" s="94"/>
    </row>
    <row r="4" spans="1:19" s="6" customFormat="1" ht="19.5" customHeight="1">
      <c r="A4" s="93"/>
      <c r="B4" s="93"/>
      <c r="C4" s="93"/>
      <c r="D4" s="29"/>
      <c r="E4" s="29"/>
      <c r="F4" s="220">
        <v>1</v>
      </c>
      <c r="G4" s="221"/>
      <c r="H4" s="222"/>
      <c r="I4" s="222"/>
      <c r="J4" s="223"/>
      <c r="K4" s="29"/>
      <c r="L4" s="29"/>
      <c r="M4" s="220" t="s">
        <v>6</v>
      </c>
      <c r="N4" s="221"/>
      <c r="O4" s="221"/>
      <c r="P4" s="35">
        <v>3</v>
      </c>
      <c r="Q4" s="29"/>
      <c r="R4" s="29"/>
      <c r="S4" s="94"/>
    </row>
    <row r="5" spans="1:19" s="6" customFormat="1" ht="19.5" customHeight="1">
      <c r="A5" s="93"/>
      <c r="B5" s="93"/>
      <c r="C5" s="93"/>
      <c r="D5" s="29"/>
      <c r="E5" s="29"/>
      <c r="F5" s="220">
        <v>2</v>
      </c>
      <c r="G5" s="221"/>
      <c r="H5" s="222"/>
      <c r="I5" s="222"/>
      <c r="J5" s="223"/>
      <c r="K5" s="29"/>
      <c r="L5" s="29"/>
      <c r="M5" s="220" t="s">
        <v>7</v>
      </c>
      <c r="N5" s="221"/>
      <c r="O5" s="221"/>
      <c r="P5" s="35">
        <v>1</v>
      </c>
      <c r="Q5" s="29"/>
      <c r="R5" s="29"/>
      <c r="S5" s="94"/>
    </row>
    <row r="6" spans="1:19" s="6" customFormat="1" ht="19.5" customHeight="1" thickBot="1">
      <c r="A6" s="93"/>
      <c r="B6" s="93"/>
      <c r="C6" s="93"/>
      <c r="D6" s="29"/>
      <c r="E6" s="29"/>
      <c r="F6" s="205">
        <v>3</v>
      </c>
      <c r="G6" s="206"/>
      <c r="H6" s="207"/>
      <c r="I6" s="207"/>
      <c r="J6" s="208"/>
      <c r="K6" s="29"/>
      <c r="L6" s="29"/>
      <c r="M6" s="205" t="s">
        <v>8</v>
      </c>
      <c r="N6" s="206"/>
      <c r="O6" s="206"/>
      <c r="P6" s="36">
        <v>0</v>
      </c>
      <c r="Q6" s="29"/>
      <c r="R6" s="29"/>
      <c r="S6" s="94"/>
    </row>
    <row r="7" ht="4.5" customHeight="1" thickBot="1"/>
    <row r="8" spans="1:19" s="6" customFormat="1" ht="19.5" customHeight="1">
      <c r="A8" s="93"/>
      <c r="B8" s="93"/>
      <c r="C8" s="93"/>
      <c r="D8" s="29"/>
      <c r="E8" s="229" t="s">
        <v>9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29"/>
      <c r="R8" s="29"/>
      <c r="S8" s="94"/>
    </row>
    <row r="9" spans="1:19" s="6" customFormat="1" ht="19.5" customHeight="1">
      <c r="A9" s="93"/>
      <c r="B9" s="93"/>
      <c r="C9" s="93"/>
      <c r="D9" s="29"/>
      <c r="E9" s="99" t="s">
        <v>27</v>
      </c>
      <c r="F9" s="218" t="s">
        <v>10</v>
      </c>
      <c r="G9" s="219"/>
      <c r="H9" s="224">
        <f>IF(H4="","",H4)</f>
      </c>
      <c r="I9" s="225"/>
      <c r="J9" s="226"/>
      <c r="K9" s="210">
        <f>IF(H5="","",H5)</f>
      </c>
      <c r="L9" s="210"/>
      <c r="M9" s="211"/>
      <c r="N9" s="30"/>
      <c r="O9" s="14" t="s">
        <v>0</v>
      </c>
      <c r="P9" s="31"/>
      <c r="Q9" s="93"/>
      <c r="R9" s="93"/>
      <c r="S9" s="94"/>
    </row>
    <row r="10" spans="1:19" s="6" customFormat="1" ht="19.5" customHeight="1">
      <c r="A10" s="93"/>
      <c r="B10" s="93"/>
      <c r="C10" s="93"/>
      <c r="D10" s="29"/>
      <c r="E10" s="99" t="s">
        <v>28</v>
      </c>
      <c r="F10" s="218" t="s">
        <v>11</v>
      </c>
      <c r="G10" s="219"/>
      <c r="H10" s="209">
        <f>K9</f>
      </c>
      <c r="I10" s="209"/>
      <c r="J10" s="209"/>
      <c r="K10" s="210">
        <f>IF(H6="","",H6)</f>
      </c>
      <c r="L10" s="210"/>
      <c r="M10" s="211"/>
      <c r="N10" s="30"/>
      <c r="O10" s="14" t="s">
        <v>0</v>
      </c>
      <c r="P10" s="31"/>
      <c r="Q10" s="93"/>
      <c r="R10" s="93"/>
      <c r="S10" s="94"/>
    </row>
    <row r="11" spans="1:19" s="6" customFormat="1" ht="19.5" customHeight="1" thickBot="1">
      <c r="A11" s="93"/>
      <c r="B11" s="93"/>
      <c r="C11" s="93"/>
      <c r="D11" s="29"/>
      <c r="E11" s="102" t="s">
        <v>29</v>
      </c>
      <c r="F11" s="216" t="s">
        <v>12</v>
      </c>
      <c r="G11" s="217"/>
      <c r="H11" s="204">
        <f>H9</f>
      </c>
      <c r="I11" s="204"/>
      <c r="J11" s="204"/>
      <c r="K11" s="213">
        <f>K10</f>
      </c>
      <c r="L11" s="213"/>
      <c r="M11" s="214"/>
      <c r="N11" s="33"/>
      <c r="O11" s="25" t="s">
        <v>0</v>
      </c>
      <c r="P11" s="34"/>
      <c r="Q11" s="93"/>
      <c r="R11" s="93"/>
      <c r="S11" s="94"/>
    </row>
    <row r="12" ht="16.5" thickBot="1"/>
    <row r="13" spans="1:19" s="6" customFormat="1" ht="30" customHeight="1">
      <c r="A13" s="93"/>
      <c r="B13" s="195" t="s">
        <v>63</v>
      </c>
      <c r="C13" s="196"/>
      <c r="D13" s="197"/>
      <c r="E13" s="203">
        <f>H9</f>
      </c>
      <c r="F13" s="203"/>
      <c r="G13" s="203"/>
      <c r="H13" s="203">
        <f>K9</f>
      </c>
      <c r="I13" s="203"/>
      <c r="J13" s="203"/>
      <c r="K13" s="203">
        <f>K10</f>
      </c>
      <c r="L13" s="203"/>
      <c r="M13" s="203"/>
      <c r="N13" s="212" t="s">
        <v>1</v>
      </c>
      <c r="O13" s="212"/>
      <c r="P13" s="212"/>
      <c r="Q13" s="4" t="s">
        <v>2</v>
      </c>
      <c r="R13" s="5" t="s">
        <v>3</v>
      </c>
      <c r="S13" s="94"/>
    </row>
    <row r="14" spans="1:19" s="6" customFormat="1" ht="30" customHeight="1">
      <c r="A14" s="93"/>
      <c r="B14" s="198">
        <f>E13</f>
      </c>
      <c r="C14" s="199"/>
      <c r="D14" s="199"/>
      <c r="E14" s="7">
        <f>IF(H14&gt;J14,P4,IF(H14=J14,P5,P6))</f>
        <v>1</v>
      </c>
      <c r="F14" s="8">
        <f>IF(K14&gt;M14,P4,IF(K14=M14,P5,P6))</f>
        <v>1</v>
      </c>
      <c r="G14" s="9" t="e">
        <f>0.001*(N14-P14)+0.00001*N14</f>
        <v>#VALUE!</v>
      </c>
      <c r="H14" s="10">
        <f>IF(P9="","",N9)</f>
      </c>
      <c r="I14" s="11" t="s">
        <v>0</v>
      </c>
      <c r="J14" s="12">
        <f>IF(P9="","",P9)</f>
      </c>
      <c r="K14" s="10">
        <f>IF(P11="","",N11)</f>
      </c>
      <c r="L14" s="11" t="s">
        <v>0</v>
      </c>
      <c r="M14" s="12">
        <f>IF(P11="","",P11)</f>
      </c>
      <c r="N14" s="13">
        <f>IF(P11="","",H14+K14)</f>
      </c>
      <c r="O14" s="14" t="s">
        <v>0</v>
      </c>
      <c r="P14" s="15">
        <f>IF(P11="","",J14+M14)</f>
      </c>
      <c r="Q14" s="16">
        <f>IF(P14="","",SUM(E14:G14))</f>
      </c>
      <c r="R14" s="17">
        <f>IF(Q14="","",RANK(Q14,Q14:Q16)&amp;".")</f>
      </c>
      <c r="S14" s="94"/>
    </row>
    <row r="15" spans="1:19" s="6" customFormat="1" ht="30" customHeight="1">
      <c r="A15" s="93"/>
      <c r="B15" s="198">
        <f>H13</f>
      </c>
      <c r="C15" s="199"/>
      <c r="D15" s="199"/>
      <c r="E15" s="10">
        <f>J14</f>
      </c>
      <c r="F15" s="11" t="s">
        <v>0</v>
      </c>
      <c r="G15" s="12">
        <f>H14</f>
      </c>
      <c r="H15" s="7">
        <f>IF(E15&gt;G15,P4,IF(E15=G15,P5,P6))</f>
        <v>1</v>
      </c>
      <c r="I15" s="8">
        <f>IF(K15&gt;M15,P4,IF(K15=M15,P5,P6))</f>
        <v>1</v>
      </c>
      <c r="J15" s="9" t="e">
        <f>0.001*(N15-P15)+0.00001*N15</f>
        <v>#VALUE!</v>
      </c>
      <c r="K15" s="10">
        <f>IF(P10="","",N10)</f>
      </c>
      <c r="L15" s="11" t="s">
        <v>0</v>
      </c>
      <c r="M15" s="12">
        <f>IF(P10="","",P10)</f>
      </c>
      <c r="N15" s="13">
        <f>IF(P11="","",E15+K15)</f>
      </c>
      <c r="O15" s="14" t="s">
        <v>0</v>
      </c>
      <c r="P15" s="15">
        <f>IF(P11="","",G15+M15)</f>
      </c>
      <c r="Q15" s="16">
        <f>IF(P15="","",SUM(H15:J15))</f>
      </c>
      <c r="R15" s="17">
        <f>IF(Q15="","",RANK(Q15,Q14:Q16)&amp;".")</f>
      </c>
      <c r="S15" s="94"/>
    </row>
    <row r="16" spans="1:19" s="6" customFormat="1" ht="30" customHeight="1" thickBot="1">
      <c r="A16" s="93"/>
      <c r="B16" s="200">
        <f>K13</f>
      </c>
      <c r="C16" s="201"/>
      <c r="D16" s="202"/>
      <c r="E16" s="18">
        <f>M14</f>
      </c>
      <c r="F16" s="19" t="s">
        <v>0</v>
      </c>
      <c r="G16" s="20">
        <f>K14</f>
      </c>
      <c r="H16" s="18">
        <f>M15</f>
      </c>
      <c r="I16" s="19" t="s">
        <v>0</v>
      </c>
      <c r="J16" s="20">
        <f>K15</f>
      </c>
      <c r="K16" s="21">
        <f>IF(E16&gt;G16,P4,IF(E16=G16,P5,P6))</f>
        <v>1</v>
      </c>
      <c r="L16" s="22">
        <f>IF(H16&gt;J16,P4,IF(H16=J16,P5,P6))</f>
        <v>1</v>
      </c>
      <c r="M16" s="23" t="e">
        <f>0.001*(N16-P16)+0.00001*N16</f>
        <v>#VALUE!</v>
      </c>
      <c r="N16" s="24">
        <f>IF(P11="","",E16+H16)</f>
      </c>
      <c r="O16" s="25" t="s">
        <v>0</v>
      </c>
      <c r="P16" s="26">
        <f>IF(P11="","",G16+J16)</f>
      </c>
      <c r="Q16" s="27">
        <f>IF(P16="","",SUM(K16:M16))</f>
      </c>
      <c r="R16" s="28">
        <f>IF(Q16="","",RANK(Q16,Q14:Q16)&amp;".")</f>
      </c>
      <c r="S16" s="94"/>
    </row>
    <row r="18" spans="4:18" ht="15.75"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</sheetData>
  <sheetProtection sheet="1" objects="1" scenarios="1"/>
  <mergeCells count="30">
    <mergeCell ref="F4:G4"/>
    <mergeCell ref="F3:J3"/>
    <mergeCell ref="E8:P8"/>
    <mergeCell ref="M3:P3"/>
    <mergeCell ref="D1:R1"/>
    <mergeCell ref="F11:G11"/>
    <mergeCell ref="F10:G10"/>
    <mergeCell ref="F9:G9"/>
    <mergeCell ref="F6:G6"/>
    <mergeCell ref="F5:G5"/>
    <mergeCell ref="M4:O4"/>
    <mergeCell ref="M5:O5"/>
    <mergeCell ref="H4:J4"/>
    <mergeCell ref="H5:J5"/>
    <mergeCell ref="H11:J11"/>
    <mergeCell ref="M6:O6"/>
    <mergeCell ref="H6:J6"/>
    <mergeCell ref="K13:M13"/>
    <mergeCell ref="H10:J10"/>
    <mergeCell ref="K10:M10"/>
    <mergeCell ref="N13:P13"/>
    <mergeCell ref="K11:M11"/>
    <mergeCell ref="H9:J9"/>
    <mergeCell ref="K9:M9"/>
    <mergeCell ref="B13:D13"/>
    <mergeCell ref="B14:D14"/>
    <mergeCell ref="B15:D15"/>
    <mergeCell ref="B16:D16"/>
    <mergeCell ref="E13:G13"/>
    <mergeCell ref="H13:J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H33"/>
  <sheetViews>
    <sheetView showGridLines="0" zoomScalePageLayoutView="0" workbookViewId="0" topLeftCell="A1">
      <selection activeCell="H4" sqref="H4:J4"/>
    </sheetView>
  </sheetViews>
  <sheetFormatPr defaultColWidth="9.140625" defaultRowHeight="12.75"/>
  <cols>
    <col min="1" max="1" width="0.85546875" style="1" customWidth="1"/>
    <col min="2" max="2" width="6.7109375" style="1" customWidth="1"/>
    <col min="3" max="3" width="1.7109375" style="1" customWidth="1"/>
    <col min="4" max="5" width="6.7109375" style="2" customWidth="1"/>
    <col min="6" max="6" width="1.7109375" style="2" customWidth="1"/>
    <col min="7" max="8" width="6.7109375" style="2" customWidth="1"/>
    <col min="9" max="9" width="1.7109375" style="2" customWidth="1"/>
    <col min="10" max="11" width="6.7109375" style="2" customWidth="1"/>
    <col min="12" max="12" width="1.7109375" style="2" customWidth="1"/>
    <col min="13" max="14" width="6.7109375" style="2" customWidth="1"/>
    <col min="15" max="15" width="1.7109375" style="2" customWidth="1"/>
    <col min="16" max="16" width="6.7109375" style="2" customWidth="1"/>
    <col min="17" max="17" width="4.7109375" style="2" customWidth="1"/>
    <col min="18" max="18" width="1.7109375" style="2" customWidth="1"/>
    <col min="19" max="19" width="4.7109375" style="1" customWidth="1"/>
    <col min="20" max="20" width="6.7109375" style="1" customWidth="1"/>
    <col min="21" max="21" width="6.7109375" style="83" customWidth="1"/>
    <col min="22" max="34" width="2.7109375" style="77" hidden="1" customWidth="1"/>
  </cols>
  <sheetData>
    <row r="1" spans="4:18" ht="33.75">
      <c r="D1" s="215" t="s">
        <v>55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ht="16.5" thickBot="1"/>
    <row r="3" spans="1:34" s="6" customFormat="1" ht="19.5" customHeight="1">
      <c r="A3" s="3"/>
      <c r="B3" s="3"/>
      <c r="C3" s="3"/>
      <c r="D3" s="29"/>
      <c r="E3" s="29"/>
      <c r="F3" s="227" t="s">
        <v>4</v>
      </c>
      <c r="G3" s="212"/>
      <c r="H3" s="212"/>
      <c r="I3" s="212"/>
      <c r="J3" s="228"/>
      <c r="K3" s="29"/>
      <c r="L3" s="29"/>
      <c r="M3" s="227" t="s">
        <v>5</v>
      </c>
      <c r="N3" s="212"/>
      <c r="O3" s="212"/>
      <c r="P3" s="228"/>
      <c r="Q3" s="29"/>
      <c r="R3" s="29"/>
      <c r="S3" s="3"/>
      <c r="T3" s="3"/>
      <c r="U3" s="84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s="6" customFormat="1" ht="19.5" customHeight="1">
      <c r="A4" s="3"/>
      <c r="B4" s="3"/>
      <c r="C4" s="3"/>
      <c r="D4" s="29"/>
      <c r="E4" s="29"/>
      <c r="F4" s="220">
        <v>1</v>
      </c>
      <c r="G4" s="221"/>
      <c r="H4" s="222"/>
      <c r="I4" s="222"/>
      <c r="J4" s="223"/>
      <c r="K4" s="29"/>
      <c r="L4" s="29"/>
      <c r="M4" s="220" t="s">
        <v>6</v>
      </c>
      <c r="N4" s="221"/>
      <c r="O4" s="221"/>
      <c r="P4" s="35">
        <v>3</v>
      </c>
      <c r="Q4" s="29"/>
      <c r="R4" s="29"/>
      <c r="S4" s="3"/>
      <c r="T4" s="3"/>
      <c r="U4" s="84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6" customFormat="1" ht="19.5" customHeight="1">
      <c r="A5" s="3"/>
      <c r="B5" s="3"/>
      <c r="C5" s="3"/>
      <c r="D5" s="29"/>
      <c r="E5" s="29"/>
      <c r="F5" s="220">
        <v>2</v>
      </c>
      <c r="G5" s="221"/>
      <c r="H5" s="222"/>
      <c r="I5" s="222"/>
      <c r="J5" s="223"/>
      <c r="K5" s="29"/>
      <c r="L5" s="29"/>
      <c r="M5" s="220" t="s">
        <v>7</v>
      </c>
      <c r="N5" s="221"/>
      <c r="O5" s="221"/>
      <c r="P5" s="35">
        <v>1</v>
      </c>
      <c r="Q5" s="29"/>
      <c r="R5" s="29"/>
      <c r="S5" s="3"/>
      <c r="T5" s="3"/>
      <c r="U5" s="84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</row>
    <row r="6" spans="1:34" s="6" customFormat="1" ht="19.5" customHeight="1" thickBot="1">
      <c r="A6" s="3"/>
      <c r="B6" s="3"/>
      <c r="C6" s="3"/>
      <c r="D6" s="29"/>
      <c r="E6" s="29"/>
      <c r="F6" s="220">
        <v>3</v>
      </c>
      <c r="G6" s="221"/>
      <c r="H6" s="222"/>
      <c r="I6" s="222"/>
      <c r="J6" s="223"/>
      <c r="K6" s="29"/>
      <c r="L6" s="29"/>
      <c r="M6" s="205" t="s">
        <v>8</v>
      </c>
      <c r="N6" s="206"/>
      <c r="O6" s="206"/>
      <c r="P6" s="36">
        <v>0</v>
      </c>
      <c r="Q6" s="29"/>
      <c r="R6" s="29"/>
      <c r="S6" s="3"/>
      <c r="T6" s="3"/>
      <c r="U6" s="84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s="6" customFormat="1" ht="19.5" customHeight="1" thickBot="1">
      <c r="A7" s="3"/>
      <c r="B7" s="3"/>
      <c r="C7" s="3"/>
      <c r="D7" s="29"/>
      <c r="E7" s="29"/>
      <c r="F7" s="236">
        <v>4</v>
      </c>
      <c r="G7" s="237"/>
      <c r="H7" s="238"/>
      <c r="I7" s="238"/>
      <c r="J7" s="239"/>
      <c r="K7" s="29"/>
      <c r="L7" s="29"/>
      <c r="M7" s="38"/>
      <c r="N7" s="38"/>
      <c r="O7" s="38"/>
      <c r="P7" s="37"/>
      <c r="Q7" s="29"/>
      <c r="R7" s="29"/>
      <c r="S7" s="3"/>
      <c r="T7" s="3"/>
      <c r="U7" s="84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ht="19.5" customHeight="1" thickBot="1"/>
    <row r="9" spans="1:34" s="6" customFormat="1" ht="19.5" customHeight="1">
      <c r="A9" s="3"/>
      <c r="B9" s="3"/>
      <c r="C9" s="3"/>
      <c r="D9" s="29"/>
      <c r="E9" s="229" t="s">
        <v>9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1"/>
      <c r="Q9" s="29"/>
      <c r="R9" s="29"/>
      <c r="S9" s="3"/>
      <c r="T9" s="3"/>
      <c r="U9" s="84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</row>
    <row r="10" spans="1:34" s="6" customFormat="1" ht="19.5" customHeight="1">
      <c r="A10" s="3"/>
      <c r="B10" s="3"/>
      <c r="C10" s="3"/>
      <c r="D10" s="47"/>
      <c r="E10" s="99" t="s">
        <v>27</v>
      </c>
      <c r="F10" s="218" t="s">
        <v>10</v>
      </c>
      <c r="G10" s="219"/>
      <c r="H10" s="224">
        <f>IF(H4="","",H4)</f>
      </c>
      <c r="I10" s="225"/>
      <c r="J10" s="226"/>
      <c r="K10" s="210">
        <f>IF(H5="","",H5)</f>
      </c>
      <c r="L10" s="210"/>
      <c r="M10" s="211"/>
      <c r="N10" s="30"/>
      <c r="O10" s="14" t="s">
        <v>0</v>
      </c>
      <c r="P10" s="31"/>
      <c r="Q10" s="32">
        <v>12</v>
      </c>
      <c r="R10" s="46"/>
      <c r="S10" s="81"/>
      <c r="U10" s="84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s="6" customFormat="1" ht="19.5" customHeight="1">
      <c r="A11" s="3"/>
      <c r="B11" s="3"/>
      <c r="C11" s="3"/>
      <c r="D11" s="47"/>
      <c r="E11" s="99" t="s">
        <v>28</v>
      </c>
      <c r="F11" s="218" t="s">
        <v>52</v>
      </c>
      <c r="G11" s="219"/>
      <c r="H11" s="209">
        <f>IF(H6="","",H6)</f>
      </c>
      <c r="I11" s="209"/>
      <c r="J11" s="209"/>
      <c r="K11" s="210">
        <f>IF(H7="","",H7)</f>
      </c>
      <c r="L11" s="210"/>
      <c r="M11" s="211"/>
      <c r="N11" s="30"/>
      <c r="O11" s="14" t="s">
        <v>0</v>
      </c>
      <c r="P11" s="31"/>
      <c r="Q11" s="32">
        <v>34</v>
      </c>
      <c r="R11" s="46"/>
      <c r="S11" s="81"/>
      <c r="U11" s="84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s="6" customFormat="1" ht="19.5" customHeight="1">
      <c r="A12" s="3"/>
      <c r="B12" s="3"/>
      <c r="C12" s="3"/>
      <c r="D12" s="47"/>
      <c r="E12" s="99" t="s">
        <v>29</v>
      </c>
      <c r="F12" s="218" t="s">
        <v>12</v>
      </c>
      <c r="G12" s="219"/>
      <c r="H12" s="209">
        <f>H10</f>
      </c>
      <c r="I12" s="209"/>
      <c r="J12" s="209"/>
      <c r="K12" s="210">
        <f>H11</f>
      </c>
      <c r="L12" s="210"/>
      <c r="M12" s="211"/>
      <c r="N12" s="30"/>
      <c r="O12" s="14" t="s">
        <v>0</v>
      </c>
      <c r="P12" s="31"/>
      <c r="Q12" s="32">
        <v>13</v>
      </c>
      <c r="R12" s="46"/>
      <c r="S12" s="81"/>
      <c r="U12" s="84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</row>
    <row r="13" spans="1:34" s="6" customFormat="1" ht="19.5" customHeight="1">
      <c r="A13" s="3"/>
      <c r="B13" s="3"/>
      <c r="C13" s="3"/>
      <c r="D13" s="47"/>
      <c r="E13" s="100" t="s">
        <v>31</v>
      </c>
      <c r="F13" s="246" t="s">
        <v>53</v>
      </c>
      <c r="G13" s="247"/>
      <c r="H13" s="234">
        <f>K10</f>
      </c>
      <c r="I13" s="234"/>
      <c r="J13" s="234"/>
      <c r="K13" s="232">
        <f>K11</f>
      </c>
      <c r="L13" s="232"/>
      <c r="M13" s="233"/>
      <c r="N13" s="40"/>
      <c r="O13" s="41" t="s">
        <v>0</v>
      </c>
      <c r="P13" s="42"/>
      <c r="Q13" s="32">
        <v>24</v>
      </c>
      <c r="R13" s="46"/>
      <c r="S13" s="81"/>
      <c r="U13" s="84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s="6" customFormat="1" ht="19.5" customHeight="1">
      <c r="A14" s="3"/>
      <c r="B14" s="3"/>
      <c r="C14" s="3"/>
      <c r="D14" s="47"/>
      <c r="E14" s="100" t="s">
        <v>32</v>
      </c>
      <c r="F14" s="246" t="s">
        <v>54</v>
      </c>
      <c r="G14" s="247"/>
      <c r="H14" s="234">
        <f>H10</f>
      </c>
      <c r="I14" s="234"/>
      <c r="J14" s="234"/>
      <c r="K14" s="232">
        <f>K11</f>
      </c>
      <c r="L14" s="232"/>
      <c r="M14" s="233"/>
      <c r="N14" s="40"/>
      <c r="O14" s="41" t="s">
        <v>0</v>
      </c>
      <c r="P14" s="42"/>
      <c r="Q14" s="32">
        <v>14</v>
      </c>
      <c r="R14" s="46"/>
      <c r="S14" s="81"/>
      <c r="U14" s="84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s="6" customFormat="1" ht="19.5" customHeight="1" thickBot="1">
      <c r="A15" s="3"/>
      <c r="B15" s="3"/>
      <c r="C15" s="3"/>
      <c r="D15" s="29"/>
      <c r="E15" s="101" t="s">
        <v>33</v>
      </c>
      <c r="F15" s="250" t="s">
        <v>11</v>
      </c>
      <c r="G15" s="251"/>
      <c r="H15" s="235">
        <f>K10</f>
      </c>
      <c r="I15" s="235"/>
      <c r="J15" s="235"/>
      <c r="K15" s="248">
        <f>H11</f>
      </c>
      <c r="L15" s="248"/>
      <c r="M15" s="249"/>
      <c r="N15" s="50"/>
      <c r="O15" s="43" t="s">
        <v>0</v>
      </c>
      <c r="P15" s="44"/>
      <c r="Q15" s="32">
        <v>23</v>
      </c>
      <c r="R15" s="46"/>
      <c r="S15" s="46"/>
      <c r="U15" s="84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ht="19.5" customHeight="1" thickBot="1"/>
    <row r="17" spans="1:34" s="6" customFormat="1" ht="30" customHeight="1">
      <c r="A17" s="3"/>
      <c r="B17" s="195" t="s">
        <v>63</v>
      </c>
      <c r="C17" s="196"/>
      <c r="D17" s="197"/>
      <c r="E17" s="203">
        <f>H10</f>
      </c>
      <c r="F17" s="203"/>
      <c r="G17" s="203"/>
      <c r="H17" s="203">
        <f>K10</f>
      </c>
      <c r="I17" s="203"/>
      <c r="J17" s="203"/>
      <c r="K17" s="203">
        <f>H11</f>
      </c>
      <c r="L17" s="203"/>
      <c r="M17" s="203"/>
      <c r="N17" s="203">
        <f>K11</f>
      </c>
      <c r="O17" s="203"/>
      <c r="P17" s="203"/>
      <c r="Q17" s="212" t="s">
        <v>1</v>
      </c>
      <c r="R17" s="212"/>
      <c r="S17" s="212"/>
      <c r="T17" s="4" t="s">
        <v>2</v>
      </c>
      <c r="U17" s="5" t="s">
        <v>3</v>
      </c>
      <c r="V17" s="78"/>
      <c r="W17" s="78"/>
      <c r="X17" s="86">
        <v>10</v>
      </c>
      <c r="Y17" s="85"/>
      <c r="Z17" s="86">
        <v>9</v>
      </c>
      <c r="AA17" s="85"/>
      <c r="AB17" s="86">
        <v>8</v>
      </c>
      <c r="AC17" s="85"/>
      <c r="AD17" s="86">
        <v>7</v>
      </c>
      <c r="AE17" s="85"/>
      <c r="AF17" s="86">
        <v>4</v>
      </c>
      <c r="AG17" s="85"/>
      <c r="AH17" s="86" t="s">
        <v>62</v>
      </c>
    </row>
    <row r="18" spans="1:34" s="6" customFormat="1" ht="30" customHeight="1">
      <c r="A18" s="32">
        <v>1</v>
      </c>
      <c r="B18" s="198">
        <f>E17</f>
      </c>
      <c r="C18" s="199"/>
      <c r="D18" s="199"/>
      <c r="E18" s="7">
        <f>IF(H18&gt;J18,P4,IF(H18=J18,P5,P6))</f>
        <v>1</v>
      </c>
      <c r="F18" s="8">
        <f>IF(K18&gt;M18,P4,IF(K18=M18,P5,P6))</f>
        <v>1</v>
      </c>
      <c r="G18" s="9">
        <f>IF(N18&gt;P18,P4,IF(N18=P18,P5,P6))</f>
        <v>1</v>
      </c>
      <c r="H18" s="10">
        <f>IF(P10="","",N10)</f>
      </c>
      <c r="I18" s="11" t="s">
        <v>0</v>
      </c>
      <c r="J18" s="12">
        <f>IF(P10="","",P10)</f>
      </c>
      <c r="K18" s="10">
        <f>IF(P12="","",N12)</f>
      </c>
      <c r="L18" s="11" t="s">
        <v>0</v>
      </c>
      <c r="M18" s="12">
        <f>IF(P12="","",P12)</f>
      </c>
      <c r="N18" s="10">
        <f>IF(P14="","",N14)</f>
      </c>
      <c r="O18" s="11" t="s">
        <v>0</v>
      </c>
      <c r="P18" s="12">
        <f>IF(P14="","",P14)</f>
      </c>
      <c r="Q18" s="13">
        <f>IF(P15="","",H18+K18+N18)</f>
      </c>
      <c r="R18" s="14" t="s">
        <v>0</v>
      </c>
      <c r="S18" s="15">
        <f>IF(P15="","",J18+M18+P18)</f>
      </c>
      <c r="T18" s="16">
        <f>IF(P15="","",SUM(E18:G18))</f>
      </c>
      <c r="U18" s="17">
        <f>IF(P15="","",AH18&amp;".")</f>
      </c>
      <c r="V18" s="78">
        <f>SUM(E18:G18)</f>
        <v>3</v>
      </c>
      <c r="W18" s="78" t="e">
        <f>0.001*(Q18-S18)+0.00001*Q18</f>
        <v>#VALUE!</v>
      </c>
      <c r="X18" s="87">
        <f>RANK(V18,$V$18:$V$21)</f>
        <v>1</v>
      </c>
      <c r="Y18" s="79" t="e">
        <f>IF(A18=$Y$27,V18+0.1+W18,V18+W18)</f>
        <v>#N/A</v>
      </c>
      <c r="Z18" s="87" t="e">
        <f>RANK(Y18,$Y$18:$Y$21)</f>
        <v>#N/A</v>
      </c>
      <c r="AA18" s="79" t="e">
        <f>IF(A18=$AA$26,V18+0.1+W18,IF(A18=$AB$26,V18+0.1+W18,V18+W18))</f>
        <v>#N/A</v>
      </c>
      <c r="AB18" s="87" t="e">
        <f>RANK(AA18,$AA$18:$AA$21)</f>
        <v>#N/A</v>
      </c>
      <c r="AC18" s="79" t="e">
        <f>IF(A18=AC23,V18+G30,IF(A18=AC24,V18+J31,IF(A18=AC25,V18+M32,V18+W18)))</f>
        <v>#N/A</v>
      </c>
      <c r="AD18" s="88" t="e">
        <f>RANK(AC18,$AC$18:$AC$21)</f>
        <v>#N/A</v>
      </c>
      <c r="AE18" s="79"/>
      <c r="AF18" s="87" t="e">
        <f>RANK(W18,$W$18:$W$21)</f>
        <v>#VALUE!</v>
      </c>
      <c r="AG18" s="61"/>
      <c r="AH18" s="87" t="e">
        <f>IF($X$22=10,X18,IF($X$22=9,Z18,IF($X$22=8,AB18,IF($X$22=7,AD18,AF18))))</f>
        <v>#VALUE!</v>
      </c>
    </row>
    <row r="19" spans="1:34" s="6" customFormat="1" ht="30" customHeight="1">
      <c r="A19" s="32">
        <v>2</v>
      </c>
      <c r="B19" s="198">
        <f>H17</f>
      </c>
      <c r="C19" s="199"/>
      <c r="D19" s="199"/>
      <c r="E19" s="10">
        <f>J18</f>
      </c>
      <c r="F19" s="11" t="s">
        <v>0</v>
      </c>
      <c r="G19" s="12">
        <f>H18</f>
      </c>
      <c r="H19" s="7">
        <f>IF(E19&gt;G19,P4,IF(E19=G19,P5,P6))</f>
        <v>1</v>
      </c>
      <c r="I19" s="8">
        <f>IF(K19&gt;M19,P4,IF(K19=M19,P5,P6))</f>
        <v>1</v>
      </c>
      <c r="J19" s="9">
        <f>IF(N19&gt;P19,P4,IF(N19=P19,P5,P6))</f>
        <v>1</v>
      </c>
      <c r="K19" s="10">
        <f>IF(P15="","",N15)</f>
      </c>
      <c r="L19" s="11" t="s">
        <v>0</v>
      </c>
      <c r="M19" s="12">
        <f>IF(P15="","",P15)</f>
      </c>
      <c r="N19" s="10">
        <f>IF(P13="","",N13)</f>
      </c>
      <c r="O19" s="11" t="s">
        <v>0</v>
      </c>
      <c r="P19" s="12">
        <f>IF(P13="","",P13)</f>
      </c>
      <c r="Q19" s="13">
        <f>IF(P15="","",E19+K19+N19)</f>
      </c>
      <c r="R19" s="14" t="s">
        <v>0</v>
      </c>
      <c r="S19" s="15">
        <f>IF(P15="","",G19+M19+P19)</f>
      </c>
      <c r="T19" s="16">
        <f>IF(P15="","",SUM(H19:J19))</f>
      </c>
      <c r="U19" s="17">
        <f>IF(P15="","",AH19&amp;".")</f>
      </c>
      <c r="V19" s="78">
        <f>SUM(H19:J19)</f>
        <v>3</v>
      </c>
      <c r="W19" s="78" t="e">
        <f>0.001*(Q19-S19)+0.00001*Q19</f>
        <v>#VALUE!</v>
      </c>
      <c r="X19" s="87">
        <f>RANK(V19,$V$18:$V$21)</f>
        <v>1</v>
      </c>
      <c r="Y19" s="79" t="e">
        <f>IF(A19=$Y$27,V19+0.1+W19,V19+W19)</f>
        <v>#N/A</v>
      </c>
      <c r="Z19" s="87" t="e">
        <f>RANK(Y19,$Y$18:$Y$21)</f>
        <v>#N/A</v>
      </c>
      <c r="AA19" s="79" t="e">
        <f>IF(A19=$AA$26,V19+0.1+W19,IF(A19=$AB$26,V19+0.1+W19,V19+W19))</f>
        <v>#N/A</v>
      </c>
      <c r="AB19" s="87" t="e">
        <f>RANK(AA19,$AA$18:$AA$21)</f>
        <v>#N/A</v>
      </c>
      <c r="AC19" s="79" t="e">
        <f>IF(A19=AC23,V19+G30,IF(A19=AC24,V19+J31,IF(A19=AC25,V19+M32,V19+W19)))</f>
        <v>#N/A</v>
      </c>
      <c r="AD19" s="88" t="e">
        <f>RANK(AC19,$AC$18:$AC$21)</f>
        <v>#N/A</v>
      </c>
      <c r="AE19" s="79"/>
      <c r="AF19" s="87" t="e">
        <f>RANK(W19,$W$18:$W$21)</f>
        <v>#VALUE!</v>
      </c>
      <c r="AG19" s="61"/>
      <c r="AH19" s="87" t="e">
        <f>IF($X$22=10,X19,IF($X$22=9,Z19,IF($X$22=8,AB19,IF($X$22=7,AD19,AF19))))</f>
        <v>#VALUE!</v>
      </c>
    </row>
    <row r="20" spans="1:34" s="6" customFormat="1" ht="30" customHeight="1">
      <c r="A20" s="32">
        <v>3</v>
      </c>
      <c r="B20" s="198">
        <f>K17</f>
      </c>
      <c r="C20" s="199"/>
      <c r="D20" s="199"/>
      <c r="E20" s="10">
        <f>M18</f>
      </c>
      <c r="F20" s="11" t="s">
        <v>0</v>
      </c>
      <c r="G20" s="12">
        <f>K18</f>
      </c>
      <c r="H20" s="10">
        <f>M19</f>
      </c>
      <c r="I20" s="11" t="s">
        <v>0</v>
      </c>
      <c r="J20" s="12">
        <f>K19</f>
      </c>
      <c r="K20" s="64">
        <f>IF(E20&gt;G20,P4,IF(E20=G20,P5,P6))</f>
        <v>1</v>
      </c>
      <c r="L20" s="8">
        <f>IF(H20&gt;J20,P4,IF(H20=J20,P5,P6))</f>
        <v>1</v>
      </c>
      <c r="M20" s="65">
        <f>IF(N20&gt;P20,P4,IF(N20=P20,P5,P6))</f>
        <v>1</v>
      </c>
      <c r="N20" s="10">
        <f>IF(P11="","",N11)</f>
      </c>
      <c r="O20" s="11" t="s">
        <v>0</v>
      </c>
      <c r="P20" s="12">
        <f>IF(P11="","",P11)</f>
      </c>
      <c r="Q20" s="13">
        <f>IF(P15="","",E20+H20+N20)</f>
      </c>
      <c r="R20" s="14" t="s">
        <v>0</v>
      </c>
      <c r="S20" s="15">
        <f>IF(P15="","",G20+J20+P20)</f>
      </c>
      <c r="T20" s="16">
        <f>IF(P15="","",SUM(K20:M20))</f>
      </c>
      <c r="U20" s="17">
        <f>IF(P15="","",AH20&amp;".")</f>
      </c>
      <c r="V20" s="78">
        <f>SUM(K20:M20)</f>
        <v>3</v>
      </c>
      <c r="W20" s="78" t="e">
        <f>0.001*(Q20-S20)+0.00001*Q20</f>
        <v>#VALUE!</v>
      </c>
      <c r="X20" s="87">
        <f>RANK(V20,$V$18:$V$21)</f>
        <v>1</v>
      </c>
      <c r="Y20" s="79" t="e">
        <f>IF(A20=$Y$27,V20+0.1+W20,V20+W20)</f>
        <v>#N/A</v>
      </c>
      <c r="Z20" s="87" t="e">
        <f>RANK(Y20,$Y$18:$Y$21)</f>
        <v>#N/A</v>
      </c>
      <c r="AA20" s="79" t="e">
        <f>IF(A20=$AA$26,V20+0.1+W20,IF(A20=$AB$26,V20+0.1+W20,V20+W20))</f>
        <v>#N/A</v>
      </c>
      <c r="AB20" s="87" t="e">
        <f>RANK(AA20,$AA$18:$AA$21)</f>
        <v>#N/A</v>
      </c>
      <c r="AC20" s="79" t="e">
        <f>IF(A20=AC23,V20+G30,IF(A20=AC24,V20+J31,IF(A20=AC25,V20+M32,V18+W20)))</f>
        <v>#N/A</v>
      </c>
      <c r="AD20" s="88" t="e">
        <f>RANK(AC20,$AC$18:$AC$21)</f>
        <v>#N/A</v>
      </c>
      <c r="AE20" s="79"/>
      <c r="AF20" s="87" t="e">
        <f>RANK(W20,$W$18:$W$21)</f>
        <v>#VALUE!</v>
      </c>
      <c r="AG20" s="61"/>
      <c r="AH20" s="87" t="e">
        <f>IF($X$22=10,X20,IF($X$22=9,Z20,IF($X$22=8,AB20,IF($X$22=7,AD20,AF20))))</f>
        <v>#VALUE!</v>
      </c>
    </row>
    <row r="21" spans="1:34" s="6" customFormat="1" ht="30" customHeight="1" thickBot="1">
      <c r="A21" s="32">
        <v>4</v>
      </c>
      <c r="B21" s="200">
        <f>N17</f>
      </c>
      <c r="C21" s="201"/>
      <c r="D21" s="202"/>
      <c r="E21" s="51">
        <f>P18</f>
      </c>
      <c r="F21" s="52" t="s">
        <v>0</v>
      </c>
      <c r="G21" s="53">
        <f>N18</f>
      </c>
      <c r="H21" s="51">
        <f>P19</f>
      </c>
      <c r="I21" s="52" t="s">
        <v>0</v>
      </c>
      <c r="J21" s="53">
        <f>N19</f>
      </c>
      <c r="K21" s="51">
        <f>P20</f>
      </c>
      <c r="L21" s="52" t="s">
        <v>0</v>
      </c>
      <c r="M21" s="53">
        <f>N20</f>
      </c>
      <c r="N21" s="21">
        <f>IF(E21&gt;G21,P4,IF(E21=G21,P5,P6))</f>
        <v>1</v>
      </c>
      <c r="O21" s="66">
        <f>IF(H21&gt;J21,P4,IF(H21=J21,P5,P6))</f>
        <v>1</v>
      </c>
      <c r="P21" s="23">
        <f>IF(K21&gt;M21,P4,IF(K21=M21,P5,P6))</f>
        <v>1</v>
      </c>
      <c r="Q21" s="54">
        <f>IF(P15="","",E21+H21+K21)</f>
      </c>
      <c r="R21" s="43" t="s">
        <v>0</v>
      </c>
      <c r="S21" s="55">
        <f>IF(P15="","",G21+J21+M21)</f>
      </c>
      <c r="T21" s="56">
        <f>IF(P15="","",SUM(N21:P21))</f>
      </c>
      <c r="U21" s="28">
        <f>IF(P15="","",AH21&amp;".")</f>
      </c>
      <c r="V21" s="78">
        <f>SUM(N21:P21)</f>
        <v>3</v>
      </c>
      <c r="W21" s="78" t="e">
        <f>0.001*(Q21-S21)+0.00001*Q21</f>
        <v>#VALUE!</v>
      </c>
      <c r="X21" s="87">
        <f>RANK(V21,$V$18:$V$21)</f>
        <v>1</v>
      </c>
      <c r="Y21" s="79" t="e">
        <f>IF(A21=$Y$27,V21+0.1+W21,V21+W21)</f>
        <v>#N/A</v>
      </c>
      <c r="Z21" s="87" t="e">
        <f>RANK(Y21,$Y$18:$Y$21)</f>
        <v>#N/A</v>
      </c>
      <c r="AA21" s="79" t="e">
        <f>IF(A21=$AA$26,V21+0.1+W21,IF(A21=$AB$26,V21+0.1+W21,V21+W21))</f>
        <v>#N/A</v>
      </c>
      <c r="AB21" s="87" t="e">
        <f>RANK(AA21,$AA$18:$AA$21)</f>
        <v>#N/A</v>
      </c>
      <c r="AC21" s="79" t="e">
        <f>IF(A21=AC23,V21+G30,IF(A21=AC24,V21+J31,IF(A21=AC25,V21+M32,V21+W21)))</f>
        <v>#N/A</v>
      </c>
      <c r="AD21" s="88" t="e">
        <f>RANK(AC21,$AC$18:$AC$21)</f>
        <v>#N/A</v>
      </c>
      <c r="AE21" s="79"/>
      <c r="AF21" s="87" t="e">
        <f>RANK(W21,$W$18:$W$21)</f>
        <v>#VALUE!</v>
      </c>
      <c r="AG21" s="61"/>
      <c r="AH21" s="87" t="e">
        <f>IF($X$22=10,X21,IF($X$22=9,Z21,IF($X$22=8,AB21,IF($X$22=7,AD21,AF21))))</f>
        <v>#VALUE!</v>
      </c>
    </row>
    <row r="22" spans="4:29" ht="15.75"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6"/>
      <c r="T22" s="156"/>
      <c r="U22" s="157"/>
      <c r="W22" s="79"/>
      <c r="X22" s="86">
        <f>SUM(X18:X21)</f>
        <v>4</v>
      </c>
      <c r="Y22" s="62">
        <f>IF(COUNTIF(X17:X21,1)=2,1,IF(COUNTIF(X17:X21,2)=2,2,IF(COUNTIF(X17:X21,3)=2,3,IF(COUNTIF(X17:X21,4)=2,4,5))))</f>
        <v>5</v>
      </c>
      <c r="AA22" s="77">
        <f>MATCH(1,X18:X21,0)</f>
        <v>1</v>
      </c>
      <c r="AB22" s="77" t="e">
        <f>MATCH(3,X18:X21,0)</f>
        <v>#N/A</v>
      </c>
      <c r="AC22" s="77">
        <f>IF(COUNTIF(X18:X21,1)=3,1,2)</f>
        <v>2</v>
      </c>
    </row>
    <row r="23" spans="19:30" ht="15.75">
      <c r="S23" s="80"/>
      <c r="T23" s="80"/>
      <c r="Y23" s="62" t="e">
        <f>MATCH(Y22,X18:X21,0)</f>
        <v>#N/A</v>
      </c>
      <c r="AA23" s="77">
        <f>IF(AA22=1,MATCH(1,X19:X21,0)+1,IF(AA22=1,MATCH(1,X19:X21,0)+2,4))</f>
        <v>2</v>
      </c>
      <c r="AB23" s="77" t="e">
        <f>IF(AB22=1,MATCH(3,X19:X21,0)+1,IF(AB22=1,MATCH(3,X20:X21,0)+2,4))</f>
        <v>#N/A</v>
      </c>
      <c r="AC23" s="62" t="e">
        <f>MATCH(AC22,X18:X21,0)</f>
        <v>#N/A</v>
      </c>
      <c r="AD23" s="62"/>
    </row>
    <row r="24" spans="19:30" ht="15.75">
      <c r="S24" s="80"/>
      <c r="T24" s="80"/>
      <c r="Y24" s="62" t="e">
        <f>IF(Y23=1,MATCH(Y22,X19:X21,0)+1,IF(Y23=2,MATCH(Y22,X20:X21,0)+2,4))</f>
        <v>#N/A</v>
      </c>
      <c r="AA24" s="62">
        <f>10*AA22+AA23</f>
        <v>12</v>
      </c>
      <c r="AB24" s="62" t="e">
        <f>10*AB22+AB23</f>
        <v>#N/A</v>
      </c>
      <c r="AC24" s="62" t="e">
        <f>IF(AC23=1,MATCH(AC22,X19:X21,0)+1,IF(AC23=2,MATCH(AC22,X20:X21,0)+2,4))</f>
        <v>#N/A</v>
      </c>
      <c r="AD24" s="62"/>
    </row>
    <row r="25" spans="19:30" ht="15.75">
      <c r="S25" s="80"/>
      <c r="T25" s="80"/>
      <c r="Y25" s="62" t="e">
        <f>10*Y23+Y24</f>
        <v>#N/A</v>
      </c>
      <c r="AA25" s="62">
        <f>MATCH(AA24,Q10:Q15,0)</f>
        <v>1</v>
      </c>
      <c r="AB25" s="62" t="e">
        <f>MATCH(AB24,Q10:Q15,0)</f>
        <v>#N/A</v>
      </c>
      <c r="AC25" s="62" t="e">
        <f>IF(AC24=2,MATCH(AC22,X20:X21,0)+2,4)</f>
        <v>#N/A</v>
      </c>
      <c r="AD25" s="62"/>
    </row>
    <row r="26" spans="19:30" ht="15.75">
      <c r="S26" s="80"/>
      <c r="T26" s="80"/>
      <c r="Y26" s="62" t="e">
        <f>MATCH(Y25,Q10:Q15,0)</f>
        <v>#N/A</v>
      </c>
      <c r="AA26" s="62">
        <f>IF(INDEX(N10:N15,AA25)=INDEX(P10:P15,AA25),0,IF(INDEX(N10:N15,AA25)&gt;INDEX(P10:P15,AA25),AA22,AA23))</f>
        <v>0</v>
      </c>
      <c r="AB26" s="62" t="e">
        <f>IF(INDEX(N10:N15,AB25)=INDEX(P10:P15,AB25),0,IF(INDEX(N10:N15,AB25)&gt;INDEX(P10:P15,AB25),AB22,AB23))</f>
        <v>#N/A</v>
      </c>
      <c r="AC26" s="62" t="e">
        <f>AC23*10+AC24</f>
        <v>#N/A</v>
      </c>
      <c r="AD26" s="62" t="e">
        <f>MATCH(AC26,Q10:Q15,0)</f>
        <v>#N/A</v>
      </c>
    </row>
    <row r="27" spans="19:30" ht="15.75">
      <c r="S27" s="80"/>
      <c r="T27" s="80"/>
      <c r="Y27" s="62" t="e">
        <f>IF(INDEX(N10:N15,Y26)=INDEX(P10:P15,Y26),0,IF(INDEX(N10:N15,Y26)&gt;INDEX(P10:P15,Y26),Y23,Y24))</f>
        <v>#N/A</v>
      </c>
      <c r="AC27" s="62" t="e">
        <f>AC23*10+AC25</f>
        <v>#N/A</v>
      </c>
      <c r="AD27" s="62" t="e">
        <f>MATCH(AC27,Q10:Q15,0)</f>
        <v>#N/A</v>
      </c>
    </row>
    <row r="28" spans="19:30" ht="15.75">
      <c r="S28" s="80"/>
      <c r="T28" s="80"/>
      <c r="AC28" s="62" t="e">
        <f>AC24*10+AC25</f>
        <v>#N/A</v>
      </c>
      <c r="AD28" s="62" t="e">
        <f>MATCH(AC28,Q10:Q15,0)</f>
        <v>#N/A</v>
      </c>
    </row>
    <row r="29" spans="1:34" s="6" customFormat="1" ht="30" customHeight="1" hidden="1">
      <c r="A29" s="3"/>
      <c r="B29" s="195" t="s">
        <v>61</v>
      </c>
      <c r="C29" s="196"/>
      <c r="D29" s="197"/>
      <c r="E29" s="203" t="e">
        <f>INDEX(H4:H7,AC23)</f>
        <v>#N/A</v>
      </c>
      <c r="F29" s="203"/>
      <c r="G29" s="203"/>
      <c r="H29" s="203" t="e">
        <f>INDEX(H4:H7,AC24)</f>
        <v>#N/A</v>
      </c>
      <c r="I29" s="203"/>
      <c r="J29" s="203"/>
      <c r="K29" s="203" t="e">
        <f>INDEX(H4:H7,AC25)</f>
        <v>#N/A</v>
      </c>
      <c r="L29" s="203"/>
      <c r="M29" s="203"/>
      <c r="N29" s="212" t="s">
        <v>1</v>
      </c>
      <c r="O29" s="212"/>
      <c r="P29" s="212"/>
      <c r="Q29" s="4" t="s">
        <v>2</v>
      </c>
      <c r="R29" s="244" t="s">
        <v>3</v>
      </c>
      <c r="S29" s="245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s="6" customFormat="1" ht="30" customHeight="1" hidden="1">
      <c r="A30" s="3"/>
      <c r="B30" s="198" t="e">
        <f>E29</f>
        <v>#N/A</v>
      </c>
      <c r="C30" s="199"/>
      <c r="D30" s="199"/>
      <c r="E30" s="7" t="e">
        <f>IF(H30&gt;J30,P4,IF(H30=J30,P5,P6))</f>
        <v>#N/A</v>
      </c>
      <c r="F30" s="8" t="e">
        <f>IF(K30&gt;M30,P4,IF(K30=M30,P5,P6))</f>
        <v>#N/A</v>
      </c>
      <c r="G30" s="9" t="e">
        <f>0.001*(N30-P30)+0.00001*N30+0.00001*W18</f>
        <v>#N/A</v>
      </c>
      <c r="H30" s="10" t="e">
        <f>INDEX(N10:N15,AD26)</f>
        <v>#N/A</v>
      </c>
      <c r="I30" s="11" t="s">
        <v>0</v>
      </c>
      <c r="J30" s="12" t="e">
        <f>INDEX(P10:P15,AD26)</f>
        <v>#N/A</v>
      </c>
      <c r="K30" s="10" t="e">
        <f>INDEX(N10:N15,AD27)</f>
        <v>#N/A</v>
      </c>
      <c r="L30" s="11" t="s">
        <v>0</v>
      </c>
      <c r="M30" s="12" t="e">
        <f>INDEX(P10:P15,AD27)</f>
        <v>#N/A</v>
      </c>
      <c r="N30" s="13" t="e">
        <f>H30+K30</f>
        <v>#N/A</v>
      </c>
      <c r="O30" s="14" t="s">
        <v>0</v>
      </c>
      <c r="P30" s="15" t="e">
        <f>J30+M30</f>
        <v>#N/A</v>
      </c>
      <c r="Q30" s="16" t="e">
        <f>SUM(E30:G30)</f>
        <v>#N/A</v>
      </c>
      <c r="R30" s="240" t="e">
        <f>RANK(Q30,$Q$30:$Q$32)</f>
        <v>#N/A</v>
      </c>
      <c r="S30" s="241"/>
      <c r="T30" s="6" t="e">
        <f>R30&amp;"."</f>
        <v>#N/A</v>
      </c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s="6" customFormat="1" ht="30" customHeight="1" hidden="1">
      <c r="A31" s="3"/>
      <c r="B31" s="198" t="e">
        <f>H29</f>
        <v>#N/A</v>
      </c>
      <c r="C31" s="199"/>
      <c r="D31" s="199"/>
      <c r="E31" s="10" t="e">
        <f>J30</f>
        <v>#N/A</v>
      </c>
      <c r="F31" s="11" t="s">
        <v>0</v>
      </c>
      <c r="G31" s="12" t="e">
        <f>H30</f>
        <v>#N/A</v>
      </c>
      <c r="H31" s="7" t="e">
        <f>IF(E31&gt;G31,P4,IF(E31=G31,P5,P6))</f>
        <v>#N/A</v>
      </c>
      <c r="I31" s="8" t="e">
        <f>IF(K31&gt;M31,P4,IF(K31=M31,P5,P6))</f>
        <v>#N/A</v>
      </c>
      <c r="J31" s="9" t="e">
        <f>0.001*(N31-P31)+0.00001*N31+0.00001*W19</f>
        <v>#N/A</v>
      </c>
      <c r="K31" s="10" t="e">
        <f>INDEX(N10:N15,AD28)</f>
        <v>#N/A</v>
      </c>
      <c r="L31" s="11" t="s">
        <v>0</v>
      </c>
      <c r="M31" s="12" t="e">
        <f>INDEX(P10:P15,AD28)</f>
        <v>#N/A</v>
      </c>
      <c r="N31" s="13" t="e">
        <f>E31+K31</f>
        <v>#N/A</v>
      </c>
      <c r="O31" s="14" t="s">
        <v>0</v>
      </c>
      <c r="P31" s="15" t="e">
        <f>G31+M31</f>
        <v>#N/A</v>
      </c>
      <c r="Q31" s="16" t="e">
        <f>SUM(H31:J31)</f>
        <v>#N/A</v>
      </c>
      <c r="R31" s="240" t="e">
        <f>RANK(Q31,$Q$30:$Q$32)</f>
        <v>#N/A</v>
      </c>
      <c r="S31" s="241"/>
      <c r="T31" s="6" t="e">
        <f>R31&amp;"."</f>
        <v>#N/A</v>
      </c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34" s="6" customFormat="1" ht="30" customHeight="1" hidden="1" thickBot="1">
      <c r="A32" s="3"/>
      <c r="B32" s="200" t="e">
        <f>K29</f>
        <v>#N/A</v>
      </c>
      <c r="C32" s="201"/>
      <c r="D32" s="202"/>
      <c r="E32" s="18" t="e">
        <f>M30</f>
        <v>#N/A</v>
      </c>
      <c r="F32" s="19" t="s">
        <v>0</v>
      </c>
      <c r="G32" s="20" t="e">
        <f>K30</f>
        <v>#N/A</v>
      </c>
      <c r="H32" s="18" t="e">
        <f>M31</f>
        <v>#N/A</v>
      </c>
      <c r="I32" s="19" t="s">
        <v>0</v>
      </c>
      <c r="J32" s="20" t="e">
        <f>K31</f>
        <v>#N/A</v>
      </c>
      <c r="K32" s="82" t="e">
        <f>IF(E32&gt;G32,P4,IF(E32=G32,P5,P6))</f>
        <v>#N/A</v>
      </c>
      <c r="L32" s="22" t="e">
        <f>IF(H32&gt;J32,P4,IF(H32=J32,P5,P6))</f>
        <v>#N/A</v>
      </c>
      <c r="M32" s="23" t="e">
        <f>0.001*(N32-P32)+0.00001*N32+0.00001*W21</f>
        <v>#N/A</v>
      </c>
      <c r="N32" s="24" t="e">
        <f>E32+H32</f>
        <v>#N/A</v>
      </c>
      <c r="O32" s="25" t="s">
        <v>0</v>
      </c>
      <c r="P32" s="26" t="e">
        <f>G32+J32</f>
        <v>#N/A</v>
      </c>
      <c r="Q32" s="27" t="e">
        <f>SUM(K32:M32)</f>
        <v>#N/A</v>
      </c>
      <c r="R32" s="242" t="e">
        <f>RANK(Q32,$Q$30:$Q$32)</f>
        <v>#N/A</v>
      </c>
      <c r="S32" s="243"/>
      <c r="T32" s="6" t="e">
        <f>R32&amp;"."</f>
        <v>#N/A</v>
      </c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ht="15.75">
      <c r="S33" s="95">
        <f>IF($X$22=7,$S$28,"")</f>
      </c>
    </row>
  </sheetData>
  <sheetProtection sheet="1" objects="1" scenarios="1"/>
  <mergeCells count="55">
    <mergeCell ref="F14:G14"/>
    <mergeCell ref="F15:G15"/>
    <mergeCell ref="E17:G17"/>
    <mergeCell ref="R32:S32"/>
    <mergeCell ref="K29:M29"/>
    <mergeCell ref="N29:P29"/>
    <mergeCell ref="R29:S29"/>
    <mergeCell ref="R30:S30"/>
    <mergeCell ref="E29:G29"/>
    <mergeCell ref="H29:J29"/>
    <mergeCell ref="H10:J10"/>
    <mergeCell ref="E9:P9"/>
    <mergeCell ref="K10:M10"/>
    <mergeCell ref="H11:J11"/>
    <mergeCell ref="K12:M12"/>
    <mergeCell ref="R31:S31"/>
    <mergeCell ref="K11:M11"/>
    <mergeCell ref="K13:M13"/>
    <mergeCell ref="F13:G13"/>
    <mergeCell ref="H13:J13"/>
    <mergeCell ref="Q17:S17"/>
    <mergeCell ref="N17:P17"/>
    <mergeCell ref="K17:M17"/>
    <mergeCell ref="H14:J14"/>
    <mergeCell ref="H15:J15"/>
    <mergeCell ref="H17:J17"/>
    <mergeCell ref="K15:M15"/>
    <mergeCell ref="D1:R1"/>
    <mergeCell ref="F12:G12"/>
    <mergeCell ref="F11:G11"/>
    <mergeCell ref="F10:G10"/>
    <mergeCell ref="F6:G6"/>
    <mergeCell ref="F5:G5"/>
    <mergeCell ref="F4:G4"/>
    <mergeCell ref="M4:O4"/>
    <mergeCell ref="F3:J3"/>
    <mergeCell ref="M3:P3"/>
    <mergeCell ref="M6:O6"/>
    <mergeCell ref="M5:O5"/>
    <mergeCell ref="H4:J4"/>
    <mergeCell ref="H5:J5"/>
    <mergeCell ref="H6:J6"/>
    <mergeCell ref="B29:D29"/>
    <mergeCell ref="K14:M14"/>
    <mergeCell ref="F7:G7"/>
    <mergeCell ref="H7:J7"/>
    <mergeCell ref="H12:J12"/>
    <mergeCell ref="B30:D30"/>
    <mergeCell ref="B31:D31"/>
    <mergeCell ref="B32:D32"/>
    <mergeCell ref="B21:D21"/>
    <mergeCell ref="B17:D17"/>
    <mergeCell ref="B18:D18"/>
    <mergeCell ref="B19:D19"/>
    <mergeCell ref="B20:D20"/>
  </mergeCells>
  <conditionalFormatting sqref="S33">
    <cfRule type="cellIs" priority="1" dxfId="80" operator="equal" stopIfTrue="1">
      <formula>$S$28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K46"/>
  <sheetViews>
    <sheetView showGridLines="0" tabSelected="1" zoomScalePageLayoutView="0" workbookViewId="0" topLeftCell="A1">
      <selection activeCell="B1" sqref="B1:S1"/>
    </sheetView>
  </sheetViews>
  <sheetFormatPr defaultColWidth="9.140625" defaultRowHeight="12.75"/>
  <cols>
    <col min="1" max="1" width="0.85546875" style="2" customWidth="1"/>
    <col min="2" max="2" width="14.7109375" style="2" customWidth="1"/>
    <col min="3" max="3" width="6.7109375" style="2" customWidth="1"/>
    <col min="4" max="4" width="1.7109375" style="2" customWidth="1"/>
    <col min="5" max="6" width="6.7109375" style="2" customWidth="1"/>
    <col min="7" max="7" width="1.7109375" style="2" customWidth="1"/>
    <col min="8" max="9" width="6.7109375" style="2" customWidth="1"/>
    <col min="10" max="10" width="1.7109375" style="2" customWidth="1"/>
    <col min="11" max="12" width="6.7109375" style="2" customWidth="1"/>
    <col min="13" max="13" width="1.7109375" style="2" customWidth="1"/>
    <col min="14" max="15" width="6.7109375" style="2" customWidth="1"/>
    <col min="16" max="16" width="1.7109375" style="2" customWidth="1"/>
    <col min="17" max="17" width="6.7109375" style="2" customWidth="1"/>
    <col min="18" max="18" width="4.7109375" style="2" customWidth="1"/>
    <col min="19" max="19" width="1.7109375" style="2" customWidth="1"/>
    <col min="20" max="20" width="4.7109375" style="2" customWidth="1"/>
    <col min="21" max="22" width="6.7109375" style="2" customWidth="1"/>
    <col min="23" max="23" width="2.7109375" style="62" hidden="1" customWidth="1"/>
    <col min="24" max="24" width="8.57421875" style="62" hidden="1" customWidth="1"/>
    <col min="25" max="25" width="3.00390625" style="62" hidden="1" customWidth="1"/>
    <col min="26" max="26" width="8.00390625" style="62" hidden="1" customWidth="1"/>
    <col min="27" max="27" width="3.00390625" style="62" hidden="1" customWidth="1"/>
    <col min="28" max="28" width="8.00390625" style="62" hidden="1" customWidth="1"/>
    <col min="29" max="29" width="3.00390625" style="62" hidden="1" customWidth="1"/>
    <col min="30" max="30" width="12.00390625" style="62" hidden="1" customWidth="1"/>
    <col min="31" max="31" width="3.00390625" style="62" hidden="1" customWidth="1"/>
    <col min="32" max="32" width="12.00390625" style="62" hidden="1" customWidth="1"/>
    <col min="33" max="35" width="5.140625" style="62" hidden="1" customWidth="1"/>
    <col min="36" max="36" width="2.7109375" style="0" hidden="1" customWidth="1"/>
    <col min="37" max="37" width="5.140625" style="0" hidden="1" customWidth="1"/>
  </cols>
  <sheetData>
    <row r="1" spans="2:19" ht="33.75">
      <c r="B1" s="215" t="s">
        <v>164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2:19" ht="4.5" customHeight="1" thickBo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35" s="6" customFormat="1" ht="19.5" customHeight="1">
      <c r="A3" s="29"/>
      <c r="B3" s="29"/>
      <c r="C3" s="29"/>
      <c r="D3" s="227" t="s">
        <v>4</v>
      </c>
      <c r="E3" s="212"/>
      <c r="F3" s="212"/>
      <c r="G3" s="212"/>
      <c r="H3" s="228"/>
      <c r="I3" s="29"/>
      <c r="J3" s="29"/>
      <c r="K3" s="227" t="s">
        <v>5</v>
      </c>
      <c r="L3" s="212"/>
      <c r="M3" s="212"/>
      <c r="N3" s="228"/>
      <c r="O3" s="29"/>
      <c r="P3" s="29"/>
      <c r="Q3" s="29"/>
      <c r="R3" s="29"/>
      <c r="S3" s="29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</row>
    <row r="4" spans="1:35" s="6" customFormat="1" ht="18.75" customHeight="1">
      <c r="A4" s="29"/>
      <c r="B4" s="29"/>
      <c r="C4" s="29"/>
      <c r="D4" s="220">
        <v>1</v>
      </c>
      <c r="E4" s="221"/>
      <c r="F4" s="222" t="s">
        <v>159</v>
      </c>
      <c r="G4" s="222"/>
      <c r="H4" s="223"/>
      <c r="I4" s="29"/>
      <c r="J4" s="29"/>
      <c r="K4" s="220" t="s">
        <v>6</v>
      </c>
      <c r="L4" s="221"/>
      <c r="M4" s="221"/>
      <c r="N4" s="35">
        <v>3</v>
      </c>
      <c r="O4" s="29"/>
      <c r="P4" s="29"/>
      <c r="Q4" s="29"/>
      <c r="R4" s="29"/>
      <c r="S4" s="29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</row>
    <row r="5" spans="1:35" s="6" customFormat="1" ht="18.75" customHeight="1">
      <c r="A5" s="29"/>
      <c r="B5" s="29"/>
      <c r="C5" s="29"/>
      <c r="D5" s="220">
        <v>2</v>
      </c>
      <c r="E5" s="221"/>
      <c r="F5" s="222" t="s">
        <v>160</v>
      </c>
      <c r="G5" s="222"/>
      <c r="H5" s="223"/>
      <c r="I5" s="29"/>
      <c r="J5" s="29"/>
      <c r="K5" s="220" t="s">
        <v>7</v>
      </c>
      <c r="L5" s="221"/>
      <c r="M5" s="221"/>
      <c r="N5" s="35">
        <v>1</v>
      </c>
      <c r="O5" s="29"/>
      <c r="P5" s="29"/>
      <c r="Q5" s="29"/>
      <c r="R5" s="29"/>
      <c r="S5" s="29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spans="1:35" s="6" customFormat="1" ht="18.75" customHeight="1" thickBot="1">
      <c r="A6" s="29"/>
      <c r="B6" s="29"/>
      <c r="C6" s="29"/>
      <c r="D6" s="220">
        <v>3</v>
      </c>
      <c r="E6" s="221"/>
      <c r="F6" s="222" t="s">
        <v>161</v>
      </c>
      <c r="G6" s="222"/>
      <c r="H6" s="223"/>
      <c r="I6" s="29"/>
      <c r="J6" s="29"/>
      <c r="K6" s="205" t="s">
        <v>8</v>
      </c>
      <c r="L6" s="206"/>
      <c r="M6" s="206"/>
      <c r="N6" s="36">
        <v>0</v>
      </c>
      <c r="O6" s="29"/>
      <c r="P6" s="29"/>
      <c r="Q6" s="29"/>
      <c r="R6" s="29"/>
      <c r="S6" s="29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 s="6" customFormat="1" ht="18.75" customHeight="1">
      <c r="A7" s="29"/>
      <c r="B7" s="29"/>
      <c r="C7" s="29"/>
      <c r="D7" s="220">
        <v>4</v>
      </c>
      <c r="E7" s="221"/>
      <c r="F7" s="222" t="s">
        <v>162</v>
      </c>
      <c r="G7" s="222"/>
      <c r="H7" s="223"/>
      <c r="I7" s="29"/>
      <c r="J7" s="29"/>
      <c r="K7" s="38"/>
      <c r="L7" s="38"/>
      <c r="M7" s="38"/>
      <c r="N7" s="37"/>
      <c r="O7" s="29"/>
      <c r="P7" s="29"/>
      <c r="Q7" s="29"/>
      <c r="R7" s="29"/>
      <c r="S7" s="29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35" s="6" customFormat="1" ht="18.75" customHeight="1" thickBot="1">
      <c r="A8" s="29"/>
      <c r="B8" s="29"/>
      <c r="C8" s="29"/>
      <c r="D8" s="252">
        <v>5</v>
      </c>
      <c r="E8" s="253"/>
      <c r="F8" s="207" t="s">
        <v>163</v>
      </c>
      <c r="G8" s="207"/>
      <c r="H8" s="208"/>
      <c r="I8" s="29"/>
      <c r="J8" s="29"/>
      <c r="K8" s="38"/>
      <c r="L8" s="38"/>
      <c r="M8" s="38"/>
      <c r="N8" s="37"/>
      <c r="O8" s="29"/>
      <c r="P8" s="29"/>
      <c r="Q8" s="29"/>
      <c r="R8" s="29"/>
      <c r="S8" s="29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ht="4.5" customHeight="1" thickBot="1"/>
    <row r="10" spans="1:35" s="6" customFormat="1" ht="19.5" customHeight="1">
      <c r="A10" s="29"/>
      <c r="B10" s="29"/>
      <c r="C10" s="229" t="s">
        <v>9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9"/>
      <c r="P10" s="67"/>
      <c r="Q10" s="67"/>
      <c r="R10" s="67"/>
      <c r="S10" s="67"/>
      <c r="T10" s="67"/>
      <c r="U10" s="67"/>
      <c r="V10" s="67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</row>
    <row r="11" spans="1:35" s="6" customFormat="1" ht="18.75" customHeight="1">
      <c r="A11" s="29"/>
      <c r="B11" s="29"/>
      <c r="C11" s="99" t="s">
        <v>27</v>
      </c>
      <c r="D11" s="218" t="s">
        <v>54</v>
      </c>
      <c r="E11" s="219"/>
      <c r="F11" s="224" t="str">
        <f>IF(F4="","",F4)</f>
        <v>Velká</v>
      </c>
      <c r="G11" s="225"/>
      <c r="H11" s="226"/>
      <c r="I11" s="210" t="str">
        <f>IF(F7="","",F7)</f>
        <v>Hroznová Lhota</v>
      </c>
      <c r="J11" s="210"/>
      <c r="K11" s="211"/>
      <c r="L11" s="30">
        <v>0</v>
      </c>
      <c r="M11" s="14" t="s">
        <v>0</v>
      </c>
      <c r="N11" s="31">
        <v>1</v>
      </c>
      <c r="O11" s="114">
        <v>14</v>
      </c>
      <c r="P11" s="67"/>
      <c r="Q11" s="67"/>
      <c r="R11" s="67"/>
      <c r="S11" s="67"/>
      <c r="T11" s="67"/>
      <c r="U11" s="67"/>
      <c r="V11" s="67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1:35" s="6" customFormat="1" ht="18.75" customHeight="1">
      <c r="A12" s="29"/>
      <c r="B12" s="29"/>
      <c r="C12" s="99" t="s">
        <v>28</v>
      </c>
      <c r="D12" s="218" t="s">
        <v>11</v>
      </c>
      <c r="E12" s="219"/>
      <c r="F12" s="209" t="str">
        <f>IF(F5="","",F5)</f>
        <v>Gym.Nowy Dwór</v>
      </c>
      <c r="G12" s="209"/>
      <c r="H12" s="209"/>
      <c r="I12" s="210" t="str">
        <f>IF(F6="","",F6)</f>
        <v>Lipov</v>
      </c>
      <c r="J12" s="210"/>
      <c r="K12" s="211"/>
      <c r="L12" s="30">
        <v>2</v>
      </c>
      <c r="M12" s="14" t="s">
        <v>0</v>
      </c>
      <c r="N12" s="31">
        <v>2</v>
      </c>
      <c r="O12" s="114">
        <v>23</v>
      </c>
      <c r="P12" s="68"/>
      <c r="Q12" s="67"/>
      <c r="R12" s="67"/>
      <c r="S12" s="67"/>
      <c r="T12" s="67"/>
      <c r="U12" s="67"/>
      <c r="V12" s="67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 s="6" customFormat="1" ht="18.75" customHeight="1">
      <c r="A13" s="29"/>
      <c r="B13" s="29"/>
      <c r="C13" s="99" t="s">
        <v>29</v>
      </c>
      <c r="D13" s="218" t="s">
        <v>56</v>
      </c>
      <c r="E13" s="219"/>
      <c r="F13" s="209" t="str">
        <f>F11</f>
        <v>Velká</v>
      </c>
      <c r="G13" s="209"/>
      <c r="H13" s="209"/>
      <c r="I13" s="210" t="str">
        <f>IF(F8="","",F8)</f>
        <v>Kmiecyn a Marzecino</v>
      </c>
      <c r="J13" s="210"/>
      <c r="K13" s="211"/>
      <c r="L13" s="30">
        <v>2</v>
      </c>
      <c r="M13" s="14" t="s">
        <v>0</v>
      </c>
      <c r="N13" s="31">
        <v>1</v>
      </c>
      <c r="O13" s="114">
        <v>15</v>
      </c>
      <c r="P13" s="67"/>
      <c r="Q13" s="67"/>
      <c r="R13" s="67"/>
      <c r="S13" s="67"/>
      <c r="T13" s="67"/>
      <c r="U13" s="67"/>
      <c r="V13" s="67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</row>
    <row r="14" spans="1:35" s="6" customFormat="1" ht="18.75" customHeight="1">
      <c r="A14" s="29"/>
      <c r="B14" s="29"/>
      <c r="C14" s="99" t="s">
        <v>31</v>
      </c>
      <c r="D14" s="246" t="s">
        <v>53</v>
      </c>
      <c r="E14" s="247"/>
      <c r="F14" s="234" t="str">
        <f>F12</f>
        <v>Gym.Nowy Dwór</v>
      </c>
      <c r="G14" s="234"/>
      <c r="H14" s="234"/>
      <c r="I14" s="232" t="str">
        <f>I11</f>
        <v>Hroznová Lhota</v>
      </c>
      <c r="J14" s="232"/>
      <c r="K14" s="233"/>
      <c r="L14" s="40">
        <v>1</v>
      </c>
      <c r="M14" s="41" t="s">
        <v>0</v>
      </c>
      <c r="N14" s="42">
        <v>0</v>
      </c>
      <c r="O14" s="114">
        <v>24</v>
      </c>
      <c r="P14" s="67"/>
      <c r="Q14" s="67"/>
      <c r="R14" s="67"/>
      <c r="S14" s="67"/>
      <c r="T14" s="67"/>
      <c r="U14" s="67"/>
      <c r="V14" s="67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1:35" s="6" customFormat="1" ht="18.75" customHeight="1">
      <c r="A15" s="29"/>
      <c r="B15" s="29"/>
      <c r="C15" s="99" t="s">
        <v>32</v>
      </c>
      <c r="D15" s="246" t="s">
        <v>57</v>
      </c>
      <c r="E15" s="247"/>
      <c r="F15" s="234" t="str">
        <f>I12</f>
        <v>Lipov</v>
      </c>
      <c r="G15" s="234"/>
      <c r="H15" s="234"/>
      <c r="I15" s="232" t="str">
        <f>I13</f>
        <v>Kmiecyn a Marzecino</v>
      </c>
      <c r="J15" s="232"/>
      <c r="K15" s="233"/>
      <c r="L15" s="40">
        <v>1</v>
      </c>
      <c r="M15" s="41" t="s">
        <v>0</v>
      </c>
      <c r="N15" s="42">
        <v>0</v>
      </c>
      <c r="O15" s="114">
        <v>35</v>
      </c>
      <c r="P15" s="67"/>
      <c r="Q15" s="67"/>
      <c r="R15" s="67"/>
      <c r="S15" s="67"/>
      <c r="T15" s="67"/>
      <c r="U15" s="67"/>
      <c r="V15" s="67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35" s="6" customFormat="1" ht="18.75" customHeight="1">
      <c r="A16" s="29"/>
      <c r="B16" s="29"/>
      <c r="C16" s="99" t="s">
        <v>33</v>
      </c>
      <c r="D16" s="219" t="s">
        <v>10</v>
      </c>
      <c r="E16" s="219"/>
      <c r="F16" s="209" t="str">
        <f>F11</f>
        <v>Velká</v>
      </c>
      <c r="G16" s="209"/>
      <c r="H16" s="209"/>
      <c r="I16" s="210" t="str">
        <f>F12</f>
        <v>Gym.Nowy Dwór</v>
      </c>
      <c r="J16" s="210"/>
      <c r="K16" s="211"/>
      <c r="L16" s="30">
        <v>0</v>
      </c>
      <c r="M16" s="14" t="s">
        <v>0</v>
      </c>
      <c r="N16" s="31">
        <v>1</v>
      </c>
      <c r="O16" s="114">
        <v>12</v>
      </c>
      <c r="P16" s="67"/>
      <c r="Q16" s="67"/>
      <c r="R16" s="67"/>
      <c r="S16" s="67"/>
      <c r="T16" s="67"/>
      <c r="U16" s="67"/>
      <c r="V16" s="67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1:35" s="6" customFormat="1" ht="18.75" customHeight="1">
      <c r="A17" s="29"/>
      <c r="B17" s="29"/>
      <c r="C17" s="99" t="s">
        <v>37</v>
      </c>
      <c r="D17" s="246" t="s">
        <v>58</v>
      </c>
      <c r="E17" s="247"/>
      <c r="F17" s="234" t="str">
        <f>I11</f>
        <v>Hroznová Lhota</v>
      </c>
      <c r="G17" s="234"/>
      <c r="H17" s="234"/>
      <c r="I17" s="232" t="str">
        <f>I13</f>
        <v>Kmiecyn a Marzecino</v>
      </c>
      <c r="J17" s="232"/>
      <c r="K17" s="233"/>
      <c r="L17" s="40">
        <v>0</v>
      </c>
      <c r="M17" s="41" t="s">
        <v>0</v>
      </c>
      <c r="N17" s="42">
        <v>0</v>
      </c>
      <c r="O17" s="114">
        <v>45</v>
      </c>
      <c r="P17" s="67"/>
      <c r="Q17" s="67"/>
      <c r="R17" s="67"/>
      <c r="S17" s="67"/>
      <c r="T17" s="67"/>
      <c r="U17" s="67"/>
      <c r="V17" s="67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1:35" s="6" customFormat="1" ht="18.75" customHeight="1">
      <c r="A18" s="29"/>
      <c r="B18" s="29"/>
      <c r="C18" s="99" t="s">
        <v>38</v>
      </c>
      <c r="D18" s="218" t="s">
        <v>12</v>
      </c>
      <c r="E18" s="219"/>
      <c r="F18" s="209" t="str">
        <f>F11</f>
        <v>Velká</v>
      </c>
      <c r="G18" s="209"/>
      <c r="H18" s="209"/>
      <c r="I18" s="210" t="str">
        <f>I12</f>
        <v>Lipov</v>
      </c>
      <c r="J18" s="210"/>
      <c r="K18" s="211"/>
      <c r="L18" s="30">
        <v>0</v>
      </c>
      <c r="M18" s="14" t="s">
        <v>0</v>
      </c>
      <c r="N18" s="31">
        <v>3</v>
      </c>
      <c r="O18" s="114">
        <v>13</v>
      </c>
      <c r="P18" s="67"/>
      <c r="Q18" s="67"/>
      <c r="R18" s="67"/>
      <c r="S18" s="67"/>
      <c r="T18" s="67"/>
      <c r="U18" s="67"/>
      <c r="V18" s="67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s="6" customFormat="1" ht="18.75" customHeight="1">
      <c r="A19" s="29"/>
      <c r="B19" s="29"/>
      <c r="C19" s="99" t="s">
        <v>39</v>
      </c>
      <c r="D19" s="246" t="s">
        <v>59</v>
      </c>
      <c r="E19" s="247"/>
      <c r="F19" s="234" t="str">
        <f>F12</f>
        <v>Gym.Nowy Dwór</v>
      </c>
      <c r="G19" s="234"/>
      <c r="H19" s="234"/>
      <c r="I19" s="232" t="str">
        <f>I13</f>
        <v>Kmiecyn a Marzecino</v>
      </c>
      <c r="J19" s="232"/>
      <c r="K19" s="233"/>
      <c r="L19" s="40">
        <v>5</v>
      </c>
      <c r="M19" s="41" t="s">
        <v>0</v>
      </c>
      <c r="N19" s="42">
        <v>0</v>
      </c>
      <c r="O19" s="114">
        <v>25</v>
      </c>
      <c r="P19" s="67"/>
      <c r="Q19" s="67"/>
      <c r="R19" s="67"/>
      <c r="S19" s="67"/>
      <c r="T19" s="67"/>
      <c r="U19" s="67"/>
      <c r="V19" s="67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s="6" customFormat="1" ht="18.75" customHeight="1" thickBot="1">
      <c r="A20" s="29"/>
      <c r="B20" s="29"/>
      <c r="C20" s="102" t="s">
        <v>44</v>
      </c>
      <c r="D20" s="250" t="s">
        <v>52</v>
      </c>
      <c r="E20" s="251"/>
      <c r="F20" s="235" t="str">
        <f>I12</f>
        <v>Lipov</v>
      </c>
      <c r="G20" s="235"/>
      <c r="H20" s="235"/>
      <c r="I20" s="248" t="str">
        <f>I11</f>
        <v>Hroznová Lhota</v>
      </c>
      <c r="J20" s="248"/>
      <c r="K20" s="249"/>
      <c r="L20" s="50">
        <v>1</v>
      </c>
      <c r="M20" s="43" t="s">
        <v>0</v>
      </c>
      <c r="N20" s="44">
        <v>1</v>
      </c>
      <c r="O20" s="114">
        <v>34</v>
      </c>
      <c r="P20" s="67"/>
      <c r="Q20" s="67"/>
      <c r="R20" s="67"/>
      <c r="S20" s="67"/>
      <c r="T20" s="67"/>
      <c r="U20" s="67"/>
      <c r="V20" s="67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ht="4.5" customHeight="1" thickBot="1">
      <c r="O21" s="115"/>
    </row>
    <row r="22" spans="1:37" s="6" customFormat="1" ht="30" customHeight="1">
      <c r="A22" s="29"/>
      <c r="B22" s="45" t="s">
        <v>63</v>
      </c>
      <c r="C22" s="203" t="str">
        <f>F11</f>
        <v>Velká</v>
      </c>
      <c r="D22" s="203"/>
      <c r="E22" s="203"/>
      <c r="F22" s="203" t="str">
        <f>F12</f>
        <v>Gym.Nowy Dwór</v>
      </c>
      <c r="G22" s="203"/>
      <c r="H22" s="203"/>
      <c r="I22" s="203" t="str">
        <f>I12</f>
        <v>Lipov</v>
      </c>
      <c r="J22" s="203"/>
      <c r="K22" s="203"/>
      <c r="L22" s="203" t="str">
        <f>I11</f>
        <v>Hroznová Lhota</v>
      </c>
      <c r="M22" s="203"/>
      <c r="N22" s="203"/>
      <c r="O22" s="203" t="str">
        <f>I13</f>
        <v>Kmiecyn a Marzecino</v>
      </c>
      <c r="P22" s="203"/>
      <c r="Q22" s="203"/>
      <c r="R22" s="212" t="s">
        <v>1</v>
      </c>
      <c r="S22" s="212"/>
      <c r="T22" s="212"/>
      <c r="U22" s="4" t="s">
        <v>2</v>
      </c>
      <c r="V22" s="5" t="s">
        <v>3</v>
      </c>
      <c r="W22" s="61"/>
      <c r="X22" s="61"/>
      <c r="Y22" s="112">
        <v>15</v>
      </c>
      <c r="Z22" s="61"/>
      <c r="AA22" s="112">
        <v>14</v>
      </c>
      <c r="AB22" s="61"/>
      <c r="AC22" s="112">
        <v>13</v>
      </c>
      <c r="AD22" s="61"/>
      <c r="AE22" s="112">
        <v>12</v>
      </c>
      <c r="AF22" s="61"/>
      <c r="AG22" s="112">
        <v>11</v>
      </c>
      <c r="AH22" s="61"/>
      <c r="AI22" s="112">
        <v>9</v>
      </c>
      <c r="AK22" s="112" t="s">
        <v>62</v>
      </c>
    </row>
    <row r="23" spans="1:37" s="6" customFormat="1" ht="30" customHeight="1">
      <c r="A23" s="47">
        <v>1</v>
      </c>
      <c r="B23" s="58" t="str">
        <f>C22</f>
        <v>Velká</v>
      </c>
      <c r="C23" s="70">
        <f>IF(F23&gt;H23,N4,IF(F23=H23,N5,N6))</f>
        <v>0</v>
      </c>
      <c r="D23" s="71">
        <f>IF(I23&gt;K23,N4,IF(I23=K23,N5,N6))</f>
        <v>0</v>
      </c>
      <c r="E23" s="73">
        <f>IF(L23&gt;N23,N4,IF(L23=N23,N5,N6))</f>
        <v>0</v>
      </c>
      <c r="F23" s="10">
        <f>IF(N16="","",L16)</f>
        <v>0</v>
      </c>
      <c r="G23" s="11" t="s">
        <v>0</v>
      </c>
      <c r="H23" s="12">
        <f>IF(N16="","",N16)</f>
        <v>1</v>
      </c>
      <c r="I23" s="10">
        <f>IF(N18="","",L18)</f>
        <v>0</v>
      </c>
      <c r="J23" s="11" t="s">
        <v>0</v>
      </c>
      <c r="K23" s="12">
        <f>IF(N18="","",N18)</f>
        <v>3</v>
      </c>
      <c r="L23" s="10">
        <f>IF(N11="","",L11)</f>
        <v>0</v>
      </c>
      <c r="M23" s="11" t="s">
        <v>0</v>
      </c>
      <c r="N23" s="12">
        <f>IF(N11="","",N11)</f>
        <v>1</v>
      </c>
      <c r="O23" s="69">
        <f>IF(N13="","",L13)</f>
        <v>2</v>
      </c>
      <c r="P23" s="11" t="s">
        <v>0</v>
      </c>
      <c r="Q23" s="12">
        <f>IF(N13="","",N13)</f>
        <v>1</v>
      </c>
      <c r="R23" s="13">
        <f>IF(N20="","",F23+I23+L23+O23)</f>
        <v>2</v>
      </c>
      <c r="S23" s="14" t="s">
        <v>0</v>
      </c>
      <c r="T23" s="15">
        <f>IF(N20="","",H23+K23+N23+Q23)</f>
        <v>6</v>
      </c>
      <c r="U23" s="16">
        <f>IF(N20="","",SUM(C23:E23)+W23)</f>
        <v>3</v>
      </c>
      <c r="V23" s="17" t="str">
        <f>IF($N$20="","",AK23&amp;".")</f>
        <v>4.</v>
      </c>
      <c r="W23" s="61">
        <f>IF(O23&gt;Q23,$N$4,IF(O23=Q23,$N$5,$N$6))</f>
        <v>3</v>
      </c>
      <c r="X23" s="61">
        <f>0.001*(R23-T23)+0.00001*R23</f>
        <v>-0.00398</v>
      </c>
      <c r="Y23" s="113">
        <f>RANK(U23,$U$23:$U$27)</f>
        <v>4</v>
      </c>
      <c r="Z23" s="61" t="e">
        <f>IF(A23=$Z$33,U23+0.1+X23,U23+X23)</f>
        <v>#N/A</v>
      </c>
      <c r="AA23" s="113" t="e">
        <f>RANK(Z23,$Z$23:$Z$27)</f>
        <v>#N/A</v>
      </c>
      <c r="AB23" s="61" t="e">
        <f>IF(A23=$AB$36,U23+0.1+X23,IF(A23=$AC$36,U23+0.1+X23,U23+X23))</f>
        <v>#N/A</v>
      </c>
      <c r="AC23" s="113" t="e">
        <f>RANK(AB23,$AB$23:$AB$27)</f>
        <v>#N/A</v>
      </c>
      <c r="AD23" s="61">
        <f>IF(Y23=$AD$28,IF(A23=$AD$29,U23+$E$38,IF(A23=$AD$30,U23+$H$39,IF(A23=$AD$31,U23+$K$40,U23))),U23)</f>
        <v>3</v>
      </c>
      <c r="AE23" s="113">
        <f>RANK(AD23,$AD$23:$AD$27)</f>
        <v>4</v>
      </c>
      <c r="AF23" s="61" t="e">
        <f>IF(Y23=$AF$28,IF(A23=$AF$29,U23+$E$38,IF(A23=$AF$30,U24+$H$39,IF(A23=$AF$31,U23+$K$40))),IF(Y23=$AG$28,IF(A23=$AG$36,U23+0.1+X23,U23+X23)))</f>
        <v>#N/A</v>
      </c>
      <c r="AG23" s="113" t="e">
        <f>RANK(AF23,$AF$23:$AF$27)</f>
        <v>#N/A</v>
      </c>
      <c r="AH23" s="61" t="e">
        <f>IF(A23=$AH$29,$R$43,IF(A23=$AH$30,$R$44,IF(A23=$AH$31,$R$45,U23+X23)))</f>
        <v>#N/A</v>
      </c>
      <c r="AI23" s="113" t="e">
        <f>RANK(AH23,$AH$23:$AH$27)</f>
        <v>#N/A</v>
      </c>
      <c r="AK23" s="113">
        <f>IF($Y$28=15,Y23,IF($Y$28=14,AA23,IF($Y$28=13,AC23,IF($Y$28=12,AE23,IF($Y$28=11,AG23,AI23)))))</f>
        <v>4</v>
      </c>
    </row>
    <row r="24" spans="1:37" s="6" customFormat="1" ht="30" customHeight="1">
      <c r="A24" s="47">
        <v>2</v>
      </c>
      <c r="B24" s="58" t="str">
        <f>F22</f>
        <v>Gym.Nowy Dwór</v>
      </c>
      <c r="C24" s="10">
        <f>H23</f>
        <v>1</v>
      </c>
      <c r="D24" s="11" t="s">
        <v>0</v>
      </c>
      <c r="E24" s="12">
        <f>F23</f>
        <v>0</v>
      </c>
      <c r="F24" s="70">
        <f>IF(C24&gt;E24,N4,IF(C24=E24,N5,N6))</f>
        <v>3</v>
      </c>
      <c r="G24" s="71">
        <f>IF(I24&gt;K24,N4,IF(I24=K24,N5,N6))</f>
        <v>1</v>
      </c>
      <c r="H24" s="73">
        <f>IF(L24&gt;N24,N4,IF(L24=N24,N5,N6))</f>
        <v>3</v>
      </c>
      <c r="I24" s="10">
        <f>IF(N12="","",L12)</f>
        <v>2</v>
      </c>
      <c r="J24" s="11" t="s">
        <v>0</v>
      </c>
      <c r="K24" s="12">
        <f>IF(N12="","",N12)</f>
        <v>2</v>
      </c>
      <c r="L24" s="10">
        <f>IF(N14="","",L14)</f>
        <v>1</v>
      </c>
      <c r="M24" s="11" t="s">
        <v>0</v>
      </c>
      <c r="N24" s="12">
        <f>IF(N14="","",N14)</f>
        <v>0</v>
      </c>
      <c r="O24" s="69">
        <f>IF(N19="","",L19)</f>
        <v>5</v>
      </c>
      <c r="P24" s="11" t="s">
        <v>0</v>
      </c>
      <c r="Q24" s="12">
        <f>IF(N19="","",N19)</f>
        <v>0</v>
      </c>
      <c r="R24" s="13">
        <f>IF(N20="","",C24+I24+L24+O24)</f>
        <v>9</v>
      </c>
      <c r="S24" s="14" t="s">
        <v>0</v>
      </c>
      <c r="T24" s="15">
        <f>IF(N20="","",E24+K24+N24+Q24)</f>
        <v>2</v>
      </c>
      <c r="U24" s="16">
        <f>IF(N20="","",SUM(F24:H24)+W24)</f>
        <v>10</v>
      </c>
      <c r="V24" s="17" t="str">
        <f>IF($N$20="","",AK24&amp;".")</f>
        <v>1.</v>
      </c>
      <c r="W24" s="61">
        <f>IF(O24&gt;Q24,$N$4,IF(O24=Q24,$N$5,$N$6))</f>
        <v>3</v>
      </c>
      <c r="X24" s="61">
        <f>0.001*(R24-T24)+0.00001*R24</f>
        <v>0.00709</v>
      </c>
      <c r="Y24" s="113">
        <f>RANK(U24,$U$23:$U$27)</f>
        <v>1</v>
      </c>
      <c r="Z24" s="61" t="e">
        <f>IF(A24=$Z$33,U24+0.1+X24,U24+X24)</f>
        <v>#N/A</v>
      </c>
      <c r="AA24" s="113" t="e">
        <f>RANK(Z24,$Z$23:$Z$27)</f>
        <v>#N/A</v>
      </c>
      <c r="AB24" s="61" t="e">
        <f>IF(A24=$AB$36,U24+0.1+X24,IF(A24=$AC$36,U24+0.1+X24,U24+X24))</f>
        <v>#N/A</v>
      </c>
      <c r="AC24" s="113" t="e">
        <f>RANK(AB24,$AB$23:$AB$27)</f>
        <v>#N/A</v>
      </c>
      <c r="AD24" s="61">
        <f>IF(Y24=$AD$28,IF(A24=$AD$29,U24+$E$38,IF(A24=$AD$30,U24+$H$39,IF(A24=$AD$31,U24+$K$40,U24))),U24)</f>
        <v>10</v>
      </c>
      <c r="AE24" s="113">
        <f>RANK(AD24,$AD$23:$AD$27)</f>
        <v>1</v>
      </c>
      <c r="AF24" s="61" t="b">
        <f>IF(Y24=$AF$28,IF(A24=$AF$29,U24+$E$38,IF(A24=$AF$30,U25+$H$39,IF(A24=$AF$31,U24+$K$40))),IF(Y24=$AG$28,IF(A24=$AG$36,U24+0.1+X24,U24+X24)))</f>
        <v>0</v>
      </c>
      <c r="AG24" s="113" t="e">
        <f>RANK(AF24,$AF$23:$AF$27)</f>
        <v>#N/A</v>
      </c>
      <c r="AH24" s="61" t="e">
        <f>IF(A24=$AH$29,$R$43,IF(A24=$AH$30,$R$44,IF(A24=$AH$31,$R$45,U24+X24)))</f>
        <v>#N/A</v>
      </c>
      <c r="AI24" s="113" t="e">
        <f>RANK(AH24,$AH$23:$AH$27)</f>
        <v>#N/A</v>
      </c>
      <c r="AK24" s="113">
        <f>IF($Y$28=15,Y24,IF($Y$28=14,AA24,IF($Y$28=13,AC24,IF($Y$28=12,AE24,IF($Y$28=11,AG24,AI24)))))</f>
        <v>1</v>
      </c>
    </row>
    <row r="25" spans="1:37" s="6" customFormat="1" ht="30" customHeight="1">
      <c r="A25" s="47">
        <v>3</v>
      </c>
      <c r="B25" s="58" t="str">
        <f>I22</f>
        <v>Lipov</v>
      </c>
      <c r="C25" s="10">
        <f>K23</f>
        <v>3</v>
      </c>
      <c r="D25" s="11" t="s">
        <v>0</v>
      </c>
      <c r="E25" s="12">
        <f>I23</f>
        <v>0</v>
      </c>
      <c r="F25" s="10">
        <f>K24</f>
        <v>2</v>
      </c>
      <c r="G25" s="11" t="s">
        <v>0</v>
      </c>
      <c r="H25" s="12">
        <f>I24</f>
        <v>2</v>
      </c>
      <c r="I25" s="71">
        <f>IF(C25&gt;E25,N4,IF(C25=E25,N5,N6))</f>
        <v>3</v>
      </c>
      <c r="J25" s="71">
        <f>IF(F25&gt;H25,N4,IF(F25=H25,N5,N6))</f>
        <v>1</v>
      </c>
      <c r="K25" s="74">
        <f>IF(L25&gt;N25,N4,IF(L25=N25,N5,N6))</f>
        <v>1</v>
      </c>
      <c r="L25" s="10">
        <f>IF(N20="","",L20)</f>
        <v>1</v>
      </c>
      <c r="M25" s="11" t="s">
        <v>0</v>
      </c>
      <c r="N25" s="12">
        <f>IF(N20="","",N20)</f>
        <v>1</v>
      </c>
      <c r="O25" s="69">
        <f>IF(N15="","",L15)</f>
        <v>1</v>
      </c>
      <c r="P25" s="11" t="s">
        <v>0</v>
      </c>
      <c r="Q25" s="12">
        <f>IF(N15="","",N15)</f>
        <v>0</v>
      </c>
      <c r="R25" s="13">
        <f>IF(N20="","",C25+F25+L25+O25)</f>
        <v>7</v>
      </c>
      <c r="S25" s="14" t="s">
        <v>0</v>
      </c>
      <c r="T25" s="15">
        <f>IF(N20="","",E25+H25+N25+Q25)</f>
        <v>3</v>
      </c>
      <c r="U25" s="16">
        <f>IF(N20="","",SUM(I25:K25)+W25)</f>
        <v>8</v>
      </c>
      <c r="V25" s="17" t="str">
        <f>IF($N$20="","",AK25&amp;".")</f>
        <v>2.</v>
      </c>
      <c r="W25" s="61">
        <f>IF(O25&gt;Q25,$N$4,IF(O25=Q25,$N$5,$N$6))</f>
        <v>3</v>
      </c>
      <c r="X25" s="61">
        <f>0.001*(R25-T25)+0.00001*R25</f>
        <v>0.00407</v>
      </c>
      <c r="Y25" s="113">
        <f>RANK(U25,$U$23:$U$27)</f>
        <v>2</v>
      </c>
      <c r="Z25" s="61" t="e">
        <f>IF(A25=$Z$33,U25+0.1+X25,U25+X25)</f>
        <v>#N/A</v>
      </c>
      <c r="AA25" s="113" t="e">
        <f>RANK(Z25,$Z$23:$Z$27)</f>
        <v>#N/A</v>
      </c>
      <c r="AB25" s="61" t="e">
        <f>IF(A25=$AB$36,U25+0.1+X25,IF(A25=$AC$36,U25+0.1+X25,U25+X25))</f>
        <v>#N/A</v>
      </c>
      <c r="AC25" s="113" t="e">
        <f>RANK(AB25,$AB$23:$AB$27)</f>
        <v>#N/A</v>
      </c>
      <c r="AD25" s="61">
        <f>IF(Y25=$AD$28,IF(A25=$AD$29,U25+$E$38,IF(A25=$AD$30,U25+$H$39,IF(A25=$AD$31,U25+$K$40,U25))),U25)</f>
        <v>8</v>
      </c>
      <c r="AE25" s="113">
        <f>RANK(AD25,$AD$23:$AD$27)</f>
        <v>2</v>
      </c>
      <c r="AF25" s="61" t="b">
        <f>IF(Y25=$AF$28,IF(A25=$AF$29,U25+$E$38,IF(A25=$AF$30,U26+$H$39,IF(A25=$AF$31,U25+$K$40))),IF(Y25=$AG$28,IF(A25=$AG$36,U25+0.1+X25,U25+X25)))</f>
        <v>0</v>
      </c>
      <c r="AG25" s="113" t="e">
        <f>RANK(AF25,$AF$23:$AF$27)</f>
        <v>#N/A</v>
      </c>
      <c r="AH25" s="61" t="e">
        <f>IF(A25=$AH$29,$R$43,IF(A25=$AH$30,$R$44,IF(A25=$AH$31,$R$45,U25+X25)))</f>
        <v>#N/A</v>
      </c>
      <c r="AI25" s="113" t="e">
        <f>RANK(AH25,$AH$23:$AH$27)</f>
        <v>#N/A</v>
      </c>
      <c r="AK25" s="113">
        <f>IF($Y$28=15,Y25,IF($Y$28=14,AA25,IF($Y$28=13,AC25,IF($Y$28=12,AE25,IF($Y$28=11,AG25,AI25)))))</f>
        <v>2</v>
      </c>
    </row>
    <row r="26" spans="1:37" s="6" customFormat="1" ht="30" customHeight="1">
      <c r="A26" s="47">
        <v>4</v>
      </c>
      <c r="B26" s="58" t="str">
        <f>L22</f>
        <v>Hroznová Lhota</v>
      </c>
      <c r="C26" s="10">
        <f>N23</f>
        <v>1</v>
      </c>
      <c r="D26" s="11" t="s">
        <v>0</v>
      </c>
      <c r="E26" s="12">
        <f>L23</f>
        <v>0</v>
      </c>
      <c r="F26" s="10">
        <f>N24</f>
        <v>0</v>
      </c>
      <c r="G26" s="11" t="s">
        <v>0</v>
      </c>
      <c r="H26" s="12">
        <f>L24</f>
        <v>1</v>
      </c>
      <c r="I26" s="10">
        <f>N25</f>
        <v>1</v>
      </c>
      <c r="J26" s="11" t="s">
        <v>0</v>
      </c>
      <c r="K26" s="12">
        <f>L25</f>
        <v>1</v>
      </c>
      <c r="L26" s="71">
        <f>IF(C26&gt;E26,N4,IF(C26=E26,N5,N6))</f>
        <v>3</v>
      </c>
      <c r="M26" s="71">
        <f>IF(F26&gt;H26,N4,IF(F26=H26,N5,N6))</f>
        <v>0</v>
      </c>
      <c r="N26" s="74">
        <f>IF(I26&gt;K26,N4,IF(I26=K26,N5,N6))</f>
        <v>1</v>
      </c>
      <c r="O26" s="69">
        <f>IF(N17="","",L17)</f>
        <v>0</v>
      </c>
      <c r="P26" s="11" t="s">
        <v>0</v>
      </c>
      <c r="Q26" s="12">
        <f>IF(N17="","",N17)</f>
        <v>0</v>
      </c>
      <c r="R26" s="13">
        <f>IF(N20="","",C26+F26+I26+O26)</f>
        <v>2</v>
      </c>
      <c r="S26" s="14" t="s">
        <v>0</v>
      </c>
      <c r="T26" s="15">
        <f>IF(N20="","",E26+H26+K26+Q26)</f>
        <v>2</v>
      </c>
      <c r="U26" s="16">
        <f>IF(N20="","",SUM(L26:N26)+W26)</f>
        <v>5</v>
      </c>
      <c r="V26" s="17" t="str">
        <f>IF($N$20="","",AK26&amp;".")</f>
        <v>3.</v>
      </c>
      <c r="W26" s="61">
        <f>IF(O26&gt;Q26,$N$4,IF(O26=Q26,$N$5,$N$6))</f>
        <v>1</v>
      </c>
      <c r="X26" s="61">
        <f>0.001*(R26-T26)+0.00001*R26</f>
        <v>2E-05</v>
      </c>
      <c r="Y26" s="113">
        <f>RANK(U26,$U$23:$U$27)</f>
        <v>3</v>
      </c>
      <c r="Z26" s="61" t="e">
        <f>IF(A26=$Z$33,U26+0.1+X26,U26+X26)</f>
        <v>#N/A</v>
      </c>
      <c r="AA26" s="113" t="e">
        <f>RANK(Z26,$Z$23:$Z$27)</f>
        <v>#N/A</v>
      </c>
      <c r="AB26" s="61" t="e">
        <f>IF(A26=$AB$36,U26+0.1+X26,IF(A26=$AC$36,U26+0.1+X26,U26+X26))</f>
        <v>#N/A</v>
      </c>
      <c r="AC26" s="113" t="e">
        <f>RANK(AB26,$AB$23:$AB$27)</f>
        <v>#N/A</v>
      </c>
      <c r="AD26" s="61">
        <f>IF(Y26=$AD$28,IF(A26=$AD$29,U26+$E$38,IF(A26=$AD$30,U26+$H$39,IF(A26=$AD$31,U26+$K$40,U26))),U26)</f>
        <v>5.0000000002</v>
      </c>
      <c r="AE26" s="113">
        <f>RANK(AD26,$AD$23:$AD$27)</f>
        <v>3</v>
      </c>
      <c r="AF26" s="61">
        <f>IF(Y26=$AF$28,IF(A26=$AF$29,U26+$E$38,IF(A26=$AF$30,U27+$H$39,IF(A26=$AF$31,U26+$K$40))),IF(Y26=$AG$28,IF(A26=$AG$36,U26+0.1+X26,U26+X26)))</f>
        <v>5.0000000002</v>
      </c>
      <c r="AG26" s="113" t="e">
        <f>RANK(AF26,$AF$23:$AF$27)</f>
        <v>#N/A</v>
      </c>
      <c r="AH26" s="61" t="e">
        <f>IF(A26=$AH$29,$R$43,IF(A26=$AH$30,$R$44,IF(A26=$AH$31,$R$45,U26+X26)))</f>
        <v>#N/A</v>
      </c>
      <c r="AI26" s="113" t="e">
        <f>RANK(AH26,$AH$23:$AH$27)</f>
        <v>#N/A</v>
      </c>
      <c r="AK26" s="113">
        <f>IF($Y$28=15,Y26,IF($Y$28=14,AA26,IF($Y$28=13,AC26,IF($Y$28=12,AE26,IF($Y$28=11,AG26,AI26)))))</f>
        <v>3</v>
      </c>
    </row>
    <row r="27" spans="1:37" s="6" customFormat="1" ht="30" customHeight="1" thickBot="1">
      <c r="A27" s="47">
        <v>5</v>
      </c>
      <c r="B27" s="59" t="str">
        <f>O22</f>
        <v>Kmiecyn a Marzecino</v>
      </c>
      <c r="C27" s="51">
        <f>Q23</f>
        <v>1</v>
      </c>
      <c r="D27" s="52" t="s">
        <v>0</v>
      </c>
      <c r="E27" s="53">
        <f>O23</f>
        <v>2</v>
      </c>
      <c r="F27" s="51">
        <f>Q24</f>
        <v>0</v>
      </c>
      <c r="G27" s="52" t="s">
        <v>0</v>
      </c>
      <c r="H27" s="53">
        <f>O24</f>
        <v>5</v>
      </c>
      <c r="I27" s="51">
        <f>Q25</f>
        <v>0</v>
      </c>
      <c r="J27" s="52" t="s">
        <v>0</v>
      </c>
      <c r="K27" s="53">
        <f>O25</f>
        <v>1</v>
      </c>
      <c r="L27" s="51">
        <f>Q26</f>
        <v>0</v>
      </c>
      <c r="M27" s="52" t="s">
        <v>0</v>
      </c>
      <c r="N27" s="53">
        <f>O26</f>
        <v>0</v>
      </c>
      <c r="O27" s="75">
        <f>IF(C27&gt;E27,N4,IF(C27=E27,N5,N6))</f>
        <v>0</v>
      </c>
      <c r="P27" s="75">
        <f>IF(F27&gt;H27,N4,IF(F27=H27,N5,N6))</f>
        <v>0</v>
      </c>
      <c r="Q27" s="76">
        <f>IF(I27&gt;K27,N4,IF(I27=K27,N5,N6))</f>
        <v>0</v>
      </c>
      <c r="R27" s="54">
        <f>IF(N20="","",C27+F27+I27+L27)</f>
        <v>1</v>
      </c>
      <c r="S27" s="43" t="s">
        <v>0</v>
      </c>
      <c r="T27" s="55">
        <f>IF(N20="","",E27+H27+K27+N27)</f>
        <v>8</v>
      </c>
      <c r="U27" s="56">
        <f>IF(N20="","",SUM(O27:Q27)+W27)</f>
        <v>1</v>
      </c>
      <c r="V27" s="28" t="str">
        <f>IF($N$20="","",AK27&amp;".")</f>
        <v>5.</v>
      </c>
      <c r="W27" s="61">
        <f>IF(L27&gt;N27,$N$4,IF(L27=N27,$N$5,$N$6))</f>
        <v>1</v>
      </c>
      <c r="X27" s="61">
        <f>0.001*(R27-T27)+0.00001*R27</f>
        <v>-0.0069900000000000006</v>
      </c>
      <c r="Y27" s="113">
        <f>RANK(U27,$U$23:$U$27)</f>
        <v>5</v>
      </c>
      <c r="Z27" s="61" t="e">
        <f>IF(A27=$Z$33,U27+0.1+X27,U27+X27)</f>
        <v>#N/A</v>
      </c>
      <c r="AA27" s="113" t="e">
        <f>RANK(Z27,$Z$23:$Z$27)</f>
        <v>#N/A</v>
      </c>
      <c r="AB27" s="61" t="e">
        <f>IF(A27=$AB$36,U27+0.1+X27,IF(A27=$AC$36,U27+0.1+X27,U27+X27))</f>
        <v>#N/A</v>
      </c>
      <c r="AC27" s="113" t="e">
        <f>RANK(AB27,$AB$23:$AB$27)</f>
        <v>#N/A</v>
      </c>
      <c r="AD27" s="61">
        <f>IF(Y27=$AD$28,IF(A27=$AD$29,U27+$E$38,IF(A27=$AD$30,U27+$H$39,IF(A27=$AD$31,U27+$K$40,U27))),U27)</f>
        <v>1</v>
      </c>
      <c r="AE27" s="113">
        <f>RANK(AD27,$AD$23:$AD$27)</f>
        <v>5</v>
      </c>
      <c r="AF27" s="61" t="b">
        <f>IF(Y27=$AF$28,IF(A27=$AF$29,U27+$E$38,IF(A27=$AF$30,U28+$H$39,IF(A27=$AF$31,U27+$K$40))),IF(Y27=$AG$28,IF(A27=$AG$36,U27+0.1+X27,U27+X27)))</f>
        <v>0</v>
      </c>
      <c r="AG27" s="113" t="e">
        <f>RANK(AF27,$AF$23:$AF$27)</f>
        <v>#N/A</v>
      </c>
      <c r="AH27" s="61" t="e">
        <f>IF(A27=$AH$29,$R$43,IF(A27=$AH$30,$R$44,IF(A27=$AH$31,$R$45,U27+X27)))</f>
        <v>#N/A</v>
      </c>
      <c r="AI27" s="113" t="e">
        <f>RANK(AH27,$AH$23:$AH$27)</f>
        <v>#N/A</v>
      </c>
      <c r="AK27" s="113">
        <f>IF($Y$28=15,Y27,IF($Y$28=14,AA27,IF($Y$28=13,AC27,IF($Y$28=12,AE27,IF($Y$28=11,AG27,AI27)))))</f>
        <v>5</v>
      </c>
    </row>
    <row r="28" spans="25:34" ht="15.75">
      <c r="Y28" s="112">
        <f>SUM(Y23:Y27)</f>
        <v>15</v>
      </c>
      <c r="Z28" s="62">
        <f>IF(COUNTIF(Y23:Y27,1)=2,1,IF(COUNTIF(Y23:Y27,2)=2,2,IF(COUNTIF(Y23:Y27,3)=2,3,IF(COUNTIF(Y23:Y27,4)=2,4,5))))</f>
        <v>5</v>
      </c>
      <c r="AB28" s="62">
        <f>COUNTIF(Y23:Y27,1)</f>
        <v>1</v>
      </c>
      <c r="AC28" s="62" t="e">
        <f>MATCH(2,AB28:AB31,0)</f>
        <v>#N/A</v>
      </c>
      <c r="AD28" s="62">
        <f>IF(COUNTIF(Y23:Y27,1)=3,1,IF(COUNTIF(Y23:Y27,2)=3,2,3))</f>
        <v>3</v>
      </c>
      <c r="AF28" s="62">
        <f>IF(COUNTIF(Y23:Y27,1)=3,1,3)</f>
        <v>3</v>
      </c>
      <c r="AG28" s="62">
        <v>4</v>
      </c>
      <c r="AH28" s="62">
        <f>IF(COUNTIF(Y23:Y27,5)=1,1,2)</f>
        <v>1</v>
      </c>
    </row>
    <row r="29" spans="26:34" ht="15.75">
      <c r="Z29" s="62">
        <f>MATCH(Z28,Y23:Y27,0)</f>
        <v>5</v>
      </c>
      <c r="AB29" s="62">
        <f>COUNTIF(Y23:Y27,2)</f>
        <v>1</v>
      </c>
      <c r="AC29" s="62" t="e">
        <f>IF(AC28=1,MATCH(2,AB29:AB31,0)+1,IF(AC28=2,MATCH(2,AB30:AB31,0)+2,4))</f>
        <v>#N/A</v>
      </c>
      <c r="AD29" s="62">
        <f>MATCH(AD28,Y23:Y27,0)</f>
        <v>4</v>
      </c>
      <c r="AF29" s="62">
        <f>MATCH(AF28,Y23:Y27,0)</f>
        <v>4</v>
      </c>
      <c r="AG29" s="62">
        <f>MATCH(AG28,Y23:Y27,0)</f>
        <v>1</v>
      </c>
      <c r="AH29" s="62">
        <f>MATCH(AH28,Y23:Y27,0)</f>
        <v>2</v>
      </c>
    </row>
    <row r="30" spans="26:34" ht="15.75">
      <c r="Z30" s="62">
        <f>IF(Z29=1,MATCH(Z28,Y24:Y27,0)+1,IF(Z29=2,MATCH(Z28,Y25:Y27,0)+2,IF(Z29=3,MATCH(Z28,Y26:Y27,0)+3,5)))</f>
        <v>5</v>
      </c>
      <c r="AB30" s="62">
        <f>COUNTIF(Y23:Y27,3)</f>
        <v>1</v>
      </c>
      <c r="AD30" s="62">
        <f>IF(AD29=1,MATCH(AD28,Y24:Y27,0)+1,IF(AD29=2,MATCH(AD28,Y25:Y27,0)+2,IF(AD29=3,MATCH(AD28,Y26:Y27,0)+3,5)))</f>
        <v>5</v>
      </c>
      <c r="AF30" s="62">
        <f>IF(AF29=1,MATCH(AF28,Y24:Y27,0)+1,IF(AF29=2,MATCH(AF28,Y25:Y27,0)+2,IF(AF29=3,MATCH(AF28,Y26:Y27,0)+3,5)))</f>
        <v>5</v>
      </c>
      <c r="AG30" s="62" t="e">
        <f>IF(Y23=AG28,MATCH(AG28,Y24:Y27,0)+1,IF(Y24=AG28,MATCH(AG28,Y25:Y27,0)+2,IF(Y25=AG28,MATCH(AG28,Y26:Y27,0)+3,5)))</f>
        <v>#N/A</v>
      </c>
      <c r="AH30" s="62" t="e">
        <f>IF(AH29=1,MATCH(AH28,Y24:Y27,0)+1,IF(AH29=2,MATCH(AH28,Y25:Y27,0)+2,IF(AH29=3,MATCH(AH28,Y26:Y27,0)+3,5)))</f>
        <v>#N/A</v>
      </c>
    </row>
    <row r="31" spans="26:34" ht="15.75">
      <c r="Z31" s="62">
        <f>10*Z29+Z30</f>
        <v>55</v>
      </c>
      <c r="AB31" s="62">
        <f>COUNTIF(Y23:Y27,4)</f>
        <v>1</v>
      </c>
      <c r="AD31" s="62">
        <f>IF(AD30=2,MATCH(AD28,Y25:Y27,0)+2,IF(AD30=3,MATCH(AD28,Y26:Y27,0)+3,5))</f>
        <v>5</v>
      </c>
      <c r="AF31" s="62">
        <f>IF(AF30=2,MATCH(AF28,Y25:Y27,0)+2,IF(AF30=3,MATCH(AF28,Y26:Y27,0)+3,5))</f>
        <v>5</v>
      </c>
      <c r="AH31" s="62" t="e">
        <f>IF(AH30=2,MATCH(AH28,Y25:Y27,0)+2,IF(AH30=3,MATCH(AH28,Y26:Y27,0)+3,5))</f>
        <v>#N/A</v>
      </c>
    </row>
    <row r="32" spans="26:34" ht="15.75">
      <c r="Z32" s="62" t="e">
        <f>MATCH(Z31,O11:O20,0)</f>
        <v>#N/A</v>
      </c>
      <c r="AB32" s="62" t="e">
        <f>MATCH(AC28,Y23:Y27,0)</f>
        <v>#N/A</v>
      </c>
      <c r="AC32" s="62" t="e">
        <f>MATCH(AC29,Y23:Y27,0)</f>
        <v>#N/A</v>
      </c>
      <c r="AD32" s="62">
        <f>AD29*10+AD30</f>
        <v>45</v>
      </c>
      <c r="AE32" s="62">
        <f>MATCH(AD32,O11:O20,0)</f>
        <v>7</v>
      </c>
      <c r="AF32" s="62">
        <f>AF29*10+AF30</f>
        <v>45</v>
      </c>
      <c r="AG32" s="62">
        <f>MATCH(AF32,O11:O20,0)</f>
        <v>7</v>
      </c>
      <c r="AH32" s="62" t="e">
        <f>IF(AH31=3,MATCH(AH28,Y26:Y27,0)+3,5)</f>
        <v>#N/A</v>
      </c>
    </row>
    <row r="33" spans="26:35" ht="15.75">
      <c r="Z33" s="62" t="e">
        <f>IF(INDEX(L11:L20,Z32)=INDEX(N11:N20,Z32),0,IF(INDEX(L11:L20,Z32)&gt;INDEX(N11:N20,Z32),Z29,Z30))</f>
        <v>#N/A</v>
      </c>
      <c r="AB33" s="62" t="e">
        <f>IF(AB32=1,MATCH(AC28,Y24:Y27,0)+1,IF(AB32=2,MATCH(AC28,Y25:Y27,0)+2,IF(AB32=3,MATCH(AC28,Y26:Y27,0)+3,5)))</f>
        <v>#N/A</v>
      </c>
      <c r="AC33" s="62" t="e">
        <f>IF(AC32=1,MATCH(AC29,Y24:Y27,0)+1,IF(AC32=2,MATCH(AC29,Y25:Y27,0)+2,IF(AC32=3,MATCH(AC29,Y26:Y27,0)+3,5)))</f>
        <v>#N/A</v>
      </c>
      <c r="AD33" s="62">
        <f>AD29*10+AD31</f>
        <v>45</v>
      </c>
      <c r="AE33" s="62">
        <f>MATCH(AD33,O11:O20,0)</f>
        <v>7</v>
      </c>
      <c r="AF33" s="62">
        <f>AF29*10+AF31</f>
        <v>45</v>
      </c>
      <c r="AG33" s="62">
        <f>MATCH(AF33,O11:O20,0)</f>
        <v>7</v>
      </c>
      <c r="AH33" s="62" t="e">
        <f>AH29*10+AH30</f>
        <v>#N/A</v>
      </c>
      <c r="AI33" s="62" t="e">
        <f aca="true" t="shared" si="0" ref="AI33:AI38">MATCH(AH33,$O$11:$O$20,0)</f>
        <v>#N/A</v>
      </c>
    </row>
    <row r="34" spans="28:35" ht="15.75">
      <c r="AB34" s="62" t="e">
        <f>10*AB32+AB33</f>
        <v>#N/A</v>
      </c>
      <c r="AC34" s="62" t="e">
        <f>10*AC32+AC33</f>
        <v>#N/A</v>
      </c>
      <c r="AD34" s="62">
        <f>AD30*10+AD31</f>
        <v>55</v>
      </c>
      <c r="AE34" s="62" t="e">
        <f>MATCH(AD34,O11:O20,0)</f>
        <v>#N/A</v>
      </c>
      <c r="AF34" s="62">
        <f>AF30*10+AF31</f>
        <v>55</v>
      </c>
      <c r="AG34" s="62" t="e">
        <f>MATCH(AF34,O11:O20,0)</f>
        <v>#N/A</v>
      </c>
      <c r="AH34" s="62" t="e">
        <f>AH29*10+AH31</f>
        <v>#N/A</v>
      </c>
      <c r="AI34" s="62" t="e">
        <f t="shared" si="0"/>
        <v>#N/A</v>
      </c>
    </row>
    <row r="35" spans="28:35" ht="15.75">
      <c r="AB35" s="62" t="e">
        <f>MATCH(AB34,O11:O20,0)</f>
        <v>#N/A</v>
      </c>
      <c r="AC35" s="62" t="e">
        <f>MATCH(AC34,O11:O20,0)</f>
        <v>#N/A</v>
      </c>
      <c r="AF35" s="62" t="e">
        <f>10*AG29+AG30</f>
        <v>#N/A</v>
      </c>
      <c r="AG35" s="62" t="e">
        <f>MATCH(AF35,O11:O20,0)</f>
        <v>#N/A</v>
      </c>
      <c r="AH35" s="62" t="e">
        <f>AH29*10+AH32</f>
        <v>#N/A</v>
      </c>
      <c r="AI35" s="62" t="e">
        <f t="shared" si="0"/>
        <v>#N/A</v>
      </c>
    </row>
    <row r="36" spans="28:35" ht="15.75">
      <c r="AB36" s="62" t="e">
        <f>IF(INDEX(L11:L20,AB35)=INDEX(N11:N20,AB35),0,IF(INDEX(L11:L20,AB35)&gt;INDEX(N11:N20,AB35),AB32,AB33))</f>
        <v>#N/A</v>
      </c>
      <c r="AC36" s="62" t="e">
        <f>IF(INDEX(L11:L20,AC35)=INDEX(N11:N20,AC35),0,IF(INDEX(L11:L20,AC35)&gt;INDEX(N11:N20,AC35),AC32,AC33))</f>
        <v>#N/A</v>
      </c>
      <c r="AG36" s="62" t="e">
        <f>IF(INDEX(L11:L20,AG35)=INDEX(N11:N20,AG35),0,IF(INDEX(L11:L20,AG35)&gt;INDEX(N11:N20,AG35),AG29,AG30))</f>
        <v>#N/A</v>
      </c>
      <c r="AH36" s="62" t="e">
        <f>AH30*10+AH31</f>
        <v>#N/A</v>
      </c>
      <c r="AI36" s="62" t="e">
        <f t="shared" si="0"/>
        <v>#N/A</v>
      </c>
    </row>
    <row r="37" spans="1:35" s="6" customFormat="1" ht="30" customHeight="1" hidden="1">
      <c r="A37" s="3"/>
      <c r="B37" s="45" t="s">
        <v>60</v>
      </c>
      <c r="C37" s="203" t="str">
        <f>INDEX(F4:F8,AD29)</f>
        <v>Hroznová Lhota</v>
      </c>
      <c r="D37" s="203"/>
      <c r="E37" s="203"/>
      <c r="F37" s="203" t="str">
        <f>INDEX(F4:F8,AD30)</f>
        <v>Kmiecyn a Marzecino</v>
      </c>
      <c r="G37" s="203"/>
      <c r="H37" s="203"/>
      <c r="I37" s="203" t="str">
        <f>INDEX(F4:F8,AD31)</f>
        <v>Kmiecyn a Marzecino</v>
      </c>
      <c r="J37" s="203"/>
      <c r="K37" s="203"/>
      <c r="L37" s="212" t="s">
        <v>1</v>
      </c>
      <c r="M37" s="212"/>
      <c r="N37" s="212"/>
      <c r="O37" s="4" t="s">
        <v>2</v>
      </c>
      <c r="P37" s="212" t="s">
        <v>3</v>
      </c>
      <c r="Q37" s="228"/>
      <c r="AC37" s="61"/>
      <c r="AD37" s="61"/>
      <c r="AE37" s="61"/>
      <c r="AF37" s="61"/>
      <c r="AG37" s="61"/>
      <c r="AH37" s="62" t="e">
        <f>AH30*10+AH32</f>
        <v>#N/A</v>
      </c>
      <c r="AI37" s="62" t="e">
        <f t="shared" si="0"/>
        <v>#N/A</v>
      </c>
    </row>
    <row r="38" spans="1:35" s="6" customFormat="1" ht="30" customHeight="1" hidden="1">
      <c r="A38" s="3"/>
      <c r="B38" s="58" t="str">
        <f>C37</f>
        <v>Hroznová Lhota</v>
      </c>
      <c r="C38" s="70">
        <f>IF(F38&gt;H38,N4,IF(F38=H38,N5,N6))</f>
        <v>1</v>
      </c>
      <c r="D38" s="71">
        <f>IF(I38&gt;K38,N4,IF(I38=K38,N5,N6))</f>
        <v>1</v>
      </c>
      <c r="E38" s="9">
        <f>0.001*(L38-N38)+0.00001*L38+0.00001*INDEX(X23:X27,AD29)</f>
        <v>2.0000000000000003E-10</v>
      </c>
      <c r="F38" s="10">
        <f>INDEX(L11:L20,AE32)</f>
        <v>0</v>
      </c>
      <c r="G38" s="11" t="s">
        <v>0</v>
      </c>
      <c r="H38" s="12">
        <f>INDEX(N11:N20,AE32)</f>
        <v>0</v>
      </c>
      <c r="I38" s="10">
        <f>INDEX(L11:L20,AE33)</f>
        <v>0</v>
      </c>
      <c r="J38" s="11" t="s">
        <v>0</v>
      </c>
      <c r="K38" s="12">
        <f>INDEX(N11:N20,AE33)</f>
        <v>0</v>
      </c>
      <c r="L38" s="13">
        <f>F38+I38</f>
        <v>0</v>
      </c>
      <c r="M38" s="14" t="s">
        <v>0</v>
      </c>
      <c r="N38" s="15">
        <f>H38+K38</f>
        <v>0</v>
      </c>
      <c r="O38" s="16">
        <f>SUM(C38:E38)</f>
        <v>2.0000000002</v>
      </c>
      <c r="P38" s="240" t="e">
        <f>RANK(O38,$O$38:$O$40)</f>
        <v>#N/A</v>
      </c>
      <c r="Q38" s="241"/>
      <c r="R38" s="63"/>
      <c r="AC38" s="61"/>
      <c r="AD38" s="61"/>
      <c r="AE38" s="61"/>
      <c r="AF38" s="61"/>
      <c r="AG38" s="61"/>
      <c r="AH38" s="62" t="e">
        <f>AH31*10+AH32</f>
        <v>#N/A</v>
      </c>
      <c r="AI38" s="62" t="e">
        <f t="shared" si="0"/>
        <v>#N/A</v>
      </c>
    </row>
    <row r="39" spans="1:35" s="6" customFormat="1" ht="30" customHeight="1" hidden="1">
      <c r="A39" s="3"/>
      <c r="B39" s="58" t="str">
        <f>F37</f>
        <v>Kmiecyn a Marzecino</v>
      </c>
      <c r="C39" s="10">
        <f>H38</f>
        <v>0</v>
      </c>
      <c r="D39" s="11" t="s">
        <v>0</v>
      </c>
      <c r="E39" s="12">
        <f>F38</f>
        <v>0</v>
      </c>
      <c r="F39" s="70">
        <f>IF(C39&gt;E39,N4,IF(C39=E39,N5,N6))</f>
        <v>1</v>
      </c>
      <c r="G39" s="71" t="e">
        <f>IF(I39&gt;K39,N4,IF(I39=K39,N5,N6))</f>
        <v>#N/A</v>
      </c>
      <c r="H39" s="9" t="e">
        <f>0.001*(L39-N39)+0.00001*L39+0.00001*INDEX(X23:X27,AD30)</f>
        <v>#N/A</v>
      </c>
      <c r="I39" s="10" t="e">
        <f>INDEX(L11:L20,AE34)</f>
        <v>#N/A</v>
      </c>
      <c r="J39" s="11" t="s">
        <v>0</v>
      </c>
      <c r="K39" s="12" t="e">
        <f>INDEX(N11:N20,AE34)</f>
        <v>#N/A</v>
      </c>
      <c r="L39" s="13" t="e">
        <f>C39+I39</f>
        <v>#N/A</v>
      </c>
      <c r="M39" s="14" t="s">
        <v>0</v>
      </c>
      <c r="N39" s="15" t="e">
        <f>E39+K39</f>
        <v>#N/A</v>
      </c>
      <c r="O39" s="16" t="e">
        <f>SUM(F39:H39)</f>
        <v>#N/A</v>
      </c>
      <c r="P39" s="240" t="e">
        <f>RANK(O39,$O$38:$O$40)</f>
        <v>#N/A</v>
      </c>
      <c r="Q39" s="241"/>
      <c r="R39" s="63"/>
      <c r="AC39" s="61"/>
      <c r="AD39" s="61"/>
      <c r="AE39" s="61"/>
      <c r="AF39" s="61"/>
      <c r="AG39" s="61"/>
      <c r="AH39" s="61"/>
      <c r="AI39" s="61"/>
    </row>
    <row r="40" spans="1:35" s="6" customFormat="1" ht="30" customHeight="1" hidden="1" thickBot="1">
      <c r="A40" s="3"/>
      <c r="B40" s="60" t="str">
        <f>I37</f>
        <v>Kmiecyn a Marzecino</v>
      </c>
      <c r="C40" s="18">
        <f>K38</f>
        <v>0</v>
      </c>
      <c r="D40" s="19" t="s">
        <v>0</v>
      </c>
      <c r="E40" s="20">
        <f>I38</f>
        <v>0</v>
      </c>
      <c r="F40" s="18" t="e">
        <f>K39</f>
        <v>#N/A</v>
      </c>
      <c r="G40" s="19" t="s">
        <v>0</v>
      </c>
      <c r="H40" s="20" t="e">
        <f>I39</f>
        <v>#N/A</v>
      </c>
      <c r="I40" s="72">
        <f>IF(C40&gt;E40,N4,IF(C40=E40,N5,N6))</f>
        <v>1</v>
      </c>
      <c r="J40" s="72" t="e">
        <f>IF(F40&gt;H40,N4,IF(F40=H40,N5,N6))</f>
        <v>#N/A</v>
      </c>
      <c r="K40" s="23" t="e">
        <f>0.001*(L40-N40)+0.00001*L40+0.00001*INDEX(X23:X27,AD31)</f>
        <v>#N/A</v>
      </c>
      <c r="L40" s="24" t="e">
        <f>C40+F40</f>
        <v>#N/A</v>
      </c>
      <c r="M40" s="25" t="s">
        <v>0</v>
      </c>
      <c r="N40" s="26" t="e">
        <f>E40+H40</f>
        <v>#N/A</v>
      </c>
      <c r="O40" s="27" t="e">
        <f>SUM(I40:K40)</f>
        <v>#N/A</v>
      </c>
      <c r="P40" s="242" t="e">
        <f>RANK(O40,$O$38:$O$40)</f>
        <v>#N/A</v>
      </c>
      <c r="Q40" s="243"/>
      <c r="R40" s="63"/>
      <c r="AC40" s="61"/>
      <c r="AD40" s="61"/>
      <c r="AE40" s="61"/>
      <c r="AF40" s="61"/>
      <c r="AG40" s="61"/>
      <c r="AH40" s="61"/>
      <c r="AI40" s="61"/>
    </row>
    <row r="41" ht="16.5" hidden="1" thickBot="1"/>
    <row r="42" spans="1:21" s="6" customFormat="1" ht="30" customHeight="1" hidden="1">
      <c r="A42" s="3"/>
      <c r="B42" s="45" t="s">
        <v>64</v>
      </c>
      <c r="C42" s="203" t="str">
        <f>INDEX(F4:F8,AH29)</f>
        <v>Gym.Nowy Dwór</v>
      </c>
      <c r="D42" s="203"/>
      <c r="E42" s="203"/>
      <c r="F42" s="203" t="e">
        <f>INDEX(F4:F8,AH30)</f>
        <v>#N/A</v>
      </c>
      <c r="G42" s="203"/>
      <c r="H42" s="203"/>
      <c r="I42" s="203" t="e">
        <f>INDEX(F4:F8,AH31)</f>
        <v>#N/A</v>
      </c>
      <c r="J42" s="203"/>
      <c r="K42" s="203"/>
      <c r="L42" s="203" t="e">
        <f>INDEX(F4:F8,AH32)</f>
        <v>#N/A</v>
      </c>
      <c r="M42" s="203"/>
      <c r="N42" s="203"/>
      <c r="O42" s="212" t="s">
        <v>1</v>
      </c>
      <c r="P42" s="212"/>
      <c r="Q42" s="212"/>
      <c r="R42" s="4" t="s">
        <v>2</v>
      </c>
      <c r="S42" s="244" t="s">
        <v>3</v>
      </c>
      <c r="T42" s="245"/>
      <c r="U42" s="78"/>
    </row>
    <row r="43" spans="1:22" s="6" customFormat="1" ht="30" customHeight="1" hidden="1">
      <c r="A43" s="32">
        <v>1</v>
      </c>
      <c r="B43" s="58" t="str">
        <f>C42</f>
        <v>Gym.Nowy Dwór</v>
      </c>
      <c r="C43" s="103" t="e">
        <f>IF(F43&gt;H43,N4,IF(F43=H43,N5,N6))</f>
        <v>#N/A</v>
      </c>
      <c r="D43" s="104" t="e">
        <f>IF(I43&gt;K43,N4,IF(I43=K43,N5,N6))</f>
        <v>#N/A</v>
      </c>
      <c r="E43" s="105" t="e">
        <f>IF(L43&gt;N43,N4,IF(L43=N43,N5,N6))</f>
        <v>#N/A</v>
      </c>
      <c r="F43" s="10" t="e">
        <f>INDEX(L11:L20,AI33)</f>
        <v>#N/A</v>
      </c>
      <c r="G43" s="11" t="s">
        <v>0</v>
      </c>
      <c r="H43" s="12" t="e">
        <f>INDEX(N11:N20,AI33)</f>
        <v>#N/A</v>
      </c>
      <c r="I43" s="10" t="e">
        <f>INDEX(L11:L20,AI34)</f>
        <v>#N/A</v>
      </c>
      <c r="J43" s="11" t="s">
        <v>0</v>
      </c>
      <c r="K43" s="12" t="e">
        <f>INDEX(N11:N20,AI34)</f>
        <v>#N/A</v>
      </c>
      <c r="L43" s="10" t="e">
        <f>INDEX(L11:L20,AI35)</f>
        <v>#N/A</v>
      </c>
      <c r="M43" s="11" t="s">
        <v>0</v>
      </c>
      <c r="N43" s="12" t="e">
        <f>INDEX(N11:N20,AI35)</f>
        <v>#N/A</v>
      </c>
      <c r="O43" s="13" t="e">
        <f>F43+I43+L43</f>
        <v>#N/A</v>
      </c>
      <c r="P43" s="14" t="s">
        <v>0</v>
      </c>
      <c r="Q43" s="15" t="e">
        <f>H43+K43+N43</f>
        <v>#N/A</v>
      </c>
      <c r="R43" s="16" t="e">
        <f>SUM(C43:E43)+V43+0.00001*INDEX(X23:X27,AH29)</f>
        <v>#N/A</v>
      </c>
      <c r="S43" s="240" t="e">
        <f>RANK(R43,$R$43:$R$46)</f>
        <v>#N/A</v>
      </c>
      <c r="T43" s="241"/>
      <c r="U43" s="78" t="e">
        <f>SUM(C43:E43)</f>
        <v>#N/A</v>
      </c>
      <c r="V43" s="78" t="e">
        <f>0.001*(O43-Q43)+0.00001*O43</f>
        <v>#N/A</v>
      </c>
    </row>
    <row r="44" spans="1:22" s="6" customFormat="1" ht="30" customHeight="1" hidden="1">
      <c r="A44" s="32">
        <v>2</v>
      </c>
      <c r="B44" s="58" t="e">
        <f>F42</f>
        <v>#N/A</v>
      </c>
      <c r="C44" s="10" t="e">
        <f>H43</f>
        <v>#N/A</v>
      </c>
      <c r="D44" s="11" t="s">
        <v>0</v>
      </c>
      <c r="E44" s="12" t="e">
        <f>F43</f>
        <v>#N/A</v>
      </c>
      <c r="F44" s="106" t="e">
        <f>IF(C44&gt;E44,N4,IF(C44=E44,N5,N6))</f>
        <v>#N/A</v>
      </c>
      <c r="G44" s="104" t="e">
        <f>IF(I44&gt;K44,N4,IF(I44=K44,N5,N6))</f>
        <v>#N/A</v>
      </c>
      <c r="H44" s="105" t="e">
        <f>IF(L44&gt;N44,N4,IF(L44=N44,N5,N6))</f>
        <v>#N/A</v>
      </c>
      <c r="I44" s="10" t="e">
        <f>INDEX(L11:L20,AI36)</f>
        <v>#N/A</v>
      </c>
      <c r="J44" s="11" t="s">
        <v>0</v>
      </c>
      <c r="K44" s="12" t="e">
        <f>INDEX(N11:N20,AI36)</f>
        <v>#N/A</v>
      </c>
      <c r="L44" s="10" t="e">
        <f>INDEX(L11:L20,AI37)</f>
        <v>#N/A</v>
      </c>
      <c r="M44" s="11" t="s">
        <v>0</v>
      </c>
      <c r="N44" s="12" t="e">
        <f>INDEX(N11:N20,AI37)</f>
        <v>#N/A</v>
      </c>
      <c r="O44" s="13" t="e">
        <f>C44+I44+L44</f>
        <v>#N/A</v>
      </c>
      <c r="P44" s="14" t="s">
        <v>0</v>
      </c>
      <c r="Q44" s="15" t="e">
        <f>E44+K44+N44</f>
        <v>#N/A</v>
      </c>
      <c r="R44" s="16" t="e">
        <f>SUM(F44:H44)+V44+0.00001*INDEX(X23:X27,AH30)</f>
        <v>#N/A</v>
      </c>
      <c r="S44" s="240" t="e">
        <f>RANK(R44,$R$43:$R$46)</f>
        <v>#N/A</v>
      </c>
      <c r="T44" s="241"/>
      <c r="U44" s="78" t="e">
        <f>SUM(F44:H44)</f>
        <v>#N/A</v>
      </c>
      <c r="V44" s="78" t="e">
        <f>0.001*(O44-Q44)+0.00001*O44</f>
        <v>#N/A</v>
      </c>
    </row>
    <row r="45" spans="1:22" s="6" customFormat="1" ht="30" customHeight="1" hidden="1">
      <c r="A45" s="32">
        <v>3</v>
      </c>
      <c r="B45" s="58" t="e">
        <f>I42</f>
        <v>#N/A</v>
      </c>
      <c r="C45" s="10" t="e">
        <f>K43</f>
        <v>#N/A</v>
      </c>
      <c r="D45" s="11" t="s">
        <v>0</v>
      </c>
      <c r="E45" s="12" t="e">
        <f>I43</f>
        <v>#N/A</v>
      </c>
      <c r="F45" s="10" t="e">
        <f>K44</f>
        <v>#N/A</v>
      </c>
      <c r="G45" s="11" t="s">
        <v>0</v>
      </c>
      <c r="H45" s="12" t="e">
        <f>I44</f>
        <v>#N/A</v>
      </c>
      <c r="I45" s="107" t="e">
        <f>IF(C45&gt;E45,N4,IF(C45=E45,N5,N6))</f>
        <v>#N/A</v>
      </c>
      <c r="J45" s="104" t="e">
        <f>IF(F45&gt;H45,N4,IF(F45=H45,N5,N6))</f>
        <v>#N/A</v>
      </c>
      <c r="K45" s="108" t="e">
        <f>IF(L45&gt;N45,N4,IF(L45=N45,N5,N6))</f>
        <v>#N/A</v>
      </c>
      <c r="L45" s="10" t="e">
        <f>INDEX(L11:L20,AI38)</f>
        <v>#N/A</v>
      </c>
      <c r="M45" s="11" t="s">
        <v>0</v>
      </c>
      <c r="N45" s="12" t="e">
        <f>INDEX(N11:N20,AI38)</f>
        <v>#N/A</v>
      </c>
      <c r="O45" s="13" t="e">
        <f>C45+F45+L45</f>
        <v>#N/A</v>
      </c>
      <c r="P45" s="14" t="s">
        <v>0</v>
      </c>
      <c r="Q45" s="15" t="e">
        <f>E45+H45+N45</f>
        <v>#N/A</v>
      </c>
      <c r="R45" s="16" t="e">
        <f>SUM(I45:K45)+V45+0.00001*INDEX(X23:X27,AH31)</f>
        <v>#N/A</v>
      </c>
      <c r="S45" s="240" t="e">
        <f>RANK(R45,$R$43:$R$46)</f>
        <v>#N/A</v>
      </c>
      <c r="T45" s="241"/>
      <c r="U45" s="78" t="e">
        <f>SUM(I45:K45)</f>
        <v>#N/A</v>
      </c>
      <c r="V45" s="78" t="e">
        <f>0.001*(O45-Q45)+0.00001*O45</f>
        <v>#N/A</v>
      </c>
    </row>
    <row r="46" spans="1:22" s="6" customFormat="1" ht="30" customHeight="1" hidden="1" thickBot="1">
      <c r="A46" s="32">
        <v>4</v>
      </c>
      <c r="B46" s="59" t="e">
        <f>L42</f>
        <v>#N/A</v>
      </c>
      <c r="C46" s="51" t="e">
        <f>N43</f>
        <v>#N/A</v>
      </c>
      <c r="D46" s="52" t="s">
        <v>0</v>
      </c>
      <c r="E46" s="53" t="e">
        <f>L43</f>
        <v>#N/A</v>
      </c>
      <c r="F46" s="51" t="e">
        <f>N44</f>
        <v>#N/A</v>
      </c>
      <c r="G46" s="52" t="s">
        <v>0</v>
      </c>
      <c r="H46" s="53" t="e">
        <f>L44</f>
        <v>#N/A</v>
      </c>
      <c r="I46" s="51" t="e">
        <f>N45</f>
        <v>#N/A</v>
      </c>
      <c r="J46" s="52" t="s">
        <v>0</v>
      </c>
      <c r="K46" s="53" t="e">
        <f>L45</f>
        <v>#N/A</v>
      </c>
      <c r="L46" s="109" t="e">
        <f>IF(C46&gt;E46,N4,IF(C46=E46,N5,N6))</f>
        <v>#N/A</v>
      </c>
      <c r="M46" s="110" t="e">
        <f>IF(F46&gt;H46,N4,IF(F46=H46,N5,N6))</f>
        <v>#N/A</v>
      </c>
      <c r="N46" s="111" t="e">
        <f>IF(I46&gt;K46,N4,IF(I46=K46,N5,N6))</f>
        <v>#N/A</v>
      </c>
      <c r="O46" s="54" t="e">
        <f>C46+F46+I46</f>
        <v>#N/A</v>
      </c>
      <c r="P46" s="43" t="s">
        <v>0</v>
      </c>
      <c r="Q46" s="55" t="e">
        <f>E46+H46+K46</f>
        <v>#N/A</v>
      </c>
      <c r="R46" s="56" t="e">
        <f>SUM(L46:N46)+V46+0.00001*INDEX(X23:X27,AH32)</f>
        <v>#N/A</v>
      </c>
      <c r="S46" s="242" t="e">
        <f>RANK(R46,$R$43:$R$46)</f>
        <v>#N/A</v>
      </c>
      <c r="T46" s="243"/>
      <c r="U46" s="78" t="e">
        <f>SUM(L46:N46)</f>
        <v>#N/A</v>
      </c>
      <c r="V46" s="78" t="e">
        <f>0.001*(O46-Q46)+0.00001*O46</f>
        <v>#N/A</v>
      </c>
    </row>
    <row r="49" ht="15.75"/>
  </sheetData>
  <sheetProtection/>
  <mergeCells count="71">
    <mergeCell ref="D5:E5"/>
    <mergeCell ref="D4:E4"/>
    <mergeCell ref="D3:H3"/>
    <mergeCell ref="C10:N10"/>
    <mergeCell ref="K6:M6"/>
    <mergeCell ref="F4:H4"/>
    <mergeCell ref="F5:H5"/>
    <mergeCell ref="F6:H6"/>
    <mergeCell ref="K4:M4"/>
    <mergeCell ref="D8:E8"/>
    <mergeCell ref="D18:E18"/>
    <mergeCell ref="F18:H18"/>
    <mergeCell ref="D17:E17"/>
    <mergeCell ref="F12:H12"/>
    <mergeCell ref="D16:E16"/>
    <mergeCell ref="F17:H17"/>
    <mergeCell ref="D14:E14"/>
    <mergeCell ref="F14:H14"/>
    <mergeCell ref="D15:E15"/>
    <mergeCell ref="F13:H13"/>
    <mergeCell ref="F11:H11"/>
    <mergeCell ref="I19:K19"/>
    <mergeCell ref="F8:H8"/>
    <mergeCell ref="I11:K11"/>
    <mergeCell ref="I12:K12"/>
    <mergeCell ref="F15:H15"/>
    <mergeCell ref="I17:K17"/>
    <mergeCell ref="I14:K14"/>
    <mergeCell ref="I15:K15"/>
    <mergeCell ref="F16:H16"/>
    <mergeCell ref="B1:S1"/>
    <mergeCell ref="D13:E13"/>
    <mergeCell ref="D12:E12"/>
    <mergeCell ref="D11:E11"/>
    <mergeCell ref="D6:E6"/>
    <mergeCell ref="D7:E7"/>
    <mergeCell ref="F7:H7"/>
    <mergeCell ref="K5:M5"/>
    <mergeCell ref="I13:K13"/>
    <mergeCell ref="K3:N3"/>
    <mergeCell ref="S46:T46"/>
    <mergeCell ref="O42:Q42"/>
    <mergeCell ref="S44:T44"/>
    <mergeCell ref="P37:Q37"/>
    <mergeCell ref="P38:Q38"/>
    <mergeCell ref="L37:N37"/>
    <mergeCell ref="S42:T42"/>
    <mergeCell ref="S43:T43"/>
    <mergeCell ref="I16:K16"/>
    <mergeCell ref="I22:K22"/>
    <mergeCell ref="I18:K18"/>
    <mergeCell ref="I20:K20"/>
    <mergeCell ref="D19:E19"/>
    <mergeCell ref="F19:H19"/>
    <mergeCell ref="R22:T22"/>
    <mergeCell ref="O22:Q22"/>
    <mergeCell ref="C22:E22"/>
    <mergeCell ref="L22:N22"/>
    <mergeCell ref="D20:E20"/>
    <mergeCell ref="F22:H22"/>
    <mergeCell ref="F20:H20"/>
    <mergeCell ref="S45:T45"/>
    <mergeCell ref="P39:Q39"/>
    <mergeCell ref="P40:Q40"/>
    <mergeCell ref="C37:E37"/>
    <mergeCell ref="F37:H37"/>
    <mergeCell ref="I37:K37"/>
    <mergeCell ref="C42:E42"/>
    <mergeCell ref="F42:H42"/>
    <mergeCell ref="I42:K42"/>
    <mergeCell ref="L42:N4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Y56"/>
  <sheetViews>
    <sheetView showGridLines="0" zoomScalePageLayoutView="0" workbookViewId="0" topLeftCell="A1">
      <selection activeCell="F4" sqref="F4:H4"/>
    </sheetView>
  </sheetViews>
  <sheetFormatPr defaultColWidth="9.140625" defaultRowHeight="12.75"/>
  <cols>
    <col min="1" max="1" width="0.85546875" style="2" customWidth="1"/>
    <col min="2" max="2" width="14.7109375" style="2" customWidth="1"/>
    <col min="3" max="3" width="6.7109375" style="2" customWidth="1"/>
    <col min="4" max="4" width="1.7109375" style="2" customWidth="1"/>
    <col min="5" max="6" width="6.7109375" style="2" customWidth="1"/>
    <col min="7" max="7" width="1.7109375" style="2" customWidth="1"/>
    <col min="8" max="9" width="6.7109375" style="2" customWidth="1"/>
    <col min="10" max="10" width="1.7109375" style="2" customWidth="1"/>
    <col min="11" max="12" width="6.7109375" style="2" customWidth="1"/>
    <col min="13" max="13" width="1.7109375" style="2" customWidth="1"/>
    <col min="14" max="15" width="6.7109375" style="2" customWidth="1"/>
    <col min="16" max="16" width="1.7109375" style="2" customWidth="1"/>
    <col min="17" max="18" width="6.7109375" style="2" customWidth="1"/>
    <col min="19" max="19" width="1.7109375" style="2" customWidth="1"/>
    <col min="20" max="20" width="6.7109375" style="2" customWidth="1"/>
    <col min="21" max="21" width="4.7109375" style="2" customWidth="1"/>
    <col min="22" max="22" width="1.7109375" style="2" customWidth="1"/>
    <col min="23" max="23" width="4.7109375" style="2" customWidth="1"/>
    <col min="24" max="25" width="6.7109375" style="2" customWidth="1"/>
    <col min="26" max="42" width="2.7109375" style="61" hidden="1" customWidth="1"/>
    <col min="43" max="47" width="2.7109375" style="62" hidden="1" customWidth="1"/>
    <col min="48" max="51" width="2.7109375" style="0" hidden="1" customWidth="1"/>
  </cols>
  <sheetData>
    <row r="1" spans="2:25" ht="33.75">
      <c r="B1" s="215" t="s">
        <v>14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2" ht="4.5" customHeight="1" thickBo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47" s="6" customFormat="1" ht="16.5" customHeight="1">
      <c r="A3" s="29"/>
      <c r="B3" s="29"/>
      <c r="C3" s="29"/>
      <c r="D3" s="3"/>
      <c r="E3" s="229" t="s">
        <v>4</v>
      </c>
      <c r="F3" s="230"/>
      <c r="G3" s="230"/>
      <c r="H3" s="231"/>
      <c r="I3" s="29"/>
      <c r="J3" s="29"/>
      <c r="K3" s="3"/>
      <c r="L3" s="229" t="s">
        <v>9</v>
      </c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1"/>
      <c r="X3" s="3"/>
      <c r="Y3" s="14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s="6" customFormat="1" ht="16.5" customHeight="1">
      <c r="A4" s="29"/>
      <c r="B4" s="29"/>
      <c r="C4" s="29"/>
      <c r="D4" s="3"/>
      <c r="E4" s="125">
        <v>1</v>
      </c>
      <c r="F4" s="222"/>
      <c r="G4" s="222"/>
      <c r="H4" s="223"/>
      <c r="I4" s="29"/>
      <c r="J4" s="29"/>
      <c r="K4" s="3"/>
      <c r="L4" s="99" t="s">
        <v>27</v>
      </c>
      <c r="M4" s="219" t="s">
        <v>54</v>
      </c>
      <c r="N4" s="219"/>
      <c r="O4" s="209">
        <f>C20</f>
      </c>
      <c r="P4" s="209"/>
      <c r="Q4" s="209"/>
      <c r="R4" s="210">
        <f>L20</f>
      </c>
      <c r="S4" s="210"/>
      <c r="T4" s="210"/>
      <c r="U4" s="39"/>
      <c r="V4" s="14" t="s">
        <v>0</v>
      </c>
      <c r="W4" s="31"/>
      <c r="X4" s="142">
        <v>14</v>
      </c>
      <c r="Y4" s="3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</row>
    <row r="5" spans="1:47" s="6" customFormat="1" ht="16.5" customHeight="1">
      <c r="A5" s="29"/>
      <c r="B5" s="29"/>
      <c r="C5" s="29"/>
      <c r="D5" s="3"/>
      <c r="E5" s="125">
        <v>2</v>
      </c>
      <c r="F5" s="222"/>
      <c r="G5" s="222"/>
      <c r="H5" s="223"/>
      <c r="I5" s="29"/>
      <c r="J5" s="29"/>
      <c r="K5" s="3"/>
      <c r="L5" s="99" t="s">
        <v>28</v>
      </c>
      <c r="M5" s="219" t="s">
        <v>11</v>
      </c>
      <c r="N5" s="219"/>
      <c r="O5" s="209">
        <f>F20</f>
      </c>
      <c r="P5" s="209"/>
      <c r="Q5" s="209"/>
      <c r="R5" s="210">
        <f>I20</f>
      </c>
      <c r="S5" s="210"/>
      <c r="T5" s="210"/>
      <c r="U5" s="39"/>
      <c r="V5" s="14" t="s">
        <v>0</v>
      </c>
      <c r="W5" s="31"/>
      <c r="X5" s="142">
        <v>23</v>
      </c>
      <c r="Y5" s="3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</row>
    <row r="6" spans="1:47" s="6" customFormat="1" ht="16.5" customHeight="1">
      <c r="A6" s="29"/>
      <c r="B6" s="29"/>
      <c r="C6" s="29"/>
      <c r="D6" s="3"/>
      <c r="E6" s="125">
        <v>3</v>
      </c>
      <c r="F6" s="222"/>
      <c r="G6" s="222"/>
      <c r="H6" s="223"/>
      <c r="I6" s="29"/>
      <c r="J6" s="29"/>
      <c r="K6" s="3"/>
      <c r="L6" s="99" t="s">
        <v>29</v>
      </c>
      <c r="M6" s="219" t="s">
        <v>87</v>
      </c>
      <c r="N6" s="219"/>
      <c r="O6" s="209">
        <f>O20</f>
      </c>
      <c r="P6" s="209"/>
      <c r="Q6" s="209"/>
      <c r="R6" s="210">
        <f>R20</f>
      </c>
      <c r="S6" s="210"/>
      <c r="T6" s="210"/>
      <c r="U6" s="39"/>
      <c r="V6" s="14" t="s">
        <v>0</v>
      </c>
      <c r="W6" s="31"/>
      <c r="X6" s="142">
        <v>56</v>
      </c>
      <c r="Y6" s="3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</row>
    <row r="7" spans="1:47" s="6" customFormat="1" ht="16.5" customHeight="1">
      <c r="A7" s="29"/>
      <c r="B7" s="29"/>
      <c r="C7" s="29"/>
      <c r="D7" s="3"/>
      <c r="E7" s="125">
        <v>4</v>
      </c>
      <c r="F7" s="222"/>
      <c r="G7" s="222"/>
      <c r="H7" s="223"/>
      <c r="I7" s="29"/>
      <c r="J7" s="29"/>
      <c r="K7" s="38"/>
      <c r="L7" s="99" t="s">
        <v>31</v>
      </c>
      <c r="M7" s="219" t="s">
        <v>53</v>
      </c>
      <c r="N7" s="219"/>
      <c r="O7" s="209">
        <f>F20</f>
      </c>
      <c r="P7" s="209"/>
      <c r="Q7" s="209"/>
      <c r="R7" s="210">
        <f>L20</f>
      </c>
      <c r="S7" s="210"/>
      <c r="T7" s="210"/>
      <c r="U7" s="123"/>
      <c r="V7" s="41" t="s">
        <v>0</v>
      </c>
      <c r="W7" s="42"/>
      <c r="X7" s="142">
        <v>24</v>
      </c>
      <c r="Y7" s="3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</row>
    <row r="8" spans="1:47" s="6" customFormat="1" ht="16.5" customHeight="1">
      <c r="A8" s="29"/>
      <c r="B8" s="29"/>
      <c r="C8" s="29"/>
      <c r="D8" s="3"/>
      <c r="E8" s="125">
        <v>5</v>
      </c>
      <c r="F8" s="222"/>
      <c r="G8" s="222"/>
      <c r="H8" s="223"/>
      <c r="I8" s="29"/>
      <c r="J8" s="29"/>
      <c r="K8" s="38"/>
      <c r="L8" s="99" t="s">
        <v>32</v>
      </c>
      <c r="M8" s="219" t="s">
        <v>56</v>
      </c>
      <c r="N8" s="219"/>
      <c r="O8" s="209">
        <f>C20</f>
      </c>
      <c r="P8" s="209"/>
      <c r="Q8" s="209"/>
      <c r="R8" s="210">
        <f>O20</f>
      </c>
      <c r="S8" s="210"/>
      <c r="T8" s="210"/>
      <c r="U8" s="123"/>
      <c r="V8" s="41" t="s">
        <v>0</v>
      </c>
      <c r="W8" s="42"/>
      <c r="X8" s="142">
        <v>15</v>
      </c>
      <c r="Y8" s="3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</row>
    <row r="9" spans="5:24" ht="16.5" customHeight="1" thickBot="1">
      <c r="E9" s="126">
        <v>6</v>
      </c>
      <c r="F9" s="238"/>
      <c r="G9" s="238"/>
      <c r="H9" s="239"/>
      <c r="L9" s="99" t="s">
        <v>33</v>
      </c>
      <c r="M9" s="219" t="s">
        <v>88</v>
      </c>
      <c r="N9" s="219"/>
      <c r="O9" s="209">
        <f>I20</f>
      </c>
      <c r="P9" s="209"/>
      <c r="Q9" s="209"/>
      <c r="R9" s="210">
        <f>R20</f>
      </c>
      <c r="S9" s="210"/>
      <c r="T9" s="210"/>
      <c r="U9" s="39"/>
      <c r="V9" s="14" t="s">
        <v>0</v>
      </c>
      <c r="W9" s="31"/>
      <c r="X9" s="140">
        <v>36</v>
      </c>
    </row>
    <row r="10" spans="1:47" s="6" customFormat="1" ht="16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99" t="s">
        <v>37</v>
      </c>
      <c r="M10" s="219" t="s">
        <v>59</v>
      </c>
      <c r="N10" s="219"/>
      <c r="O10" s="209">
        <f>F20</f>
      </c>
      <c r="P10" s="209"/>
      <c r="Q10" s="209"/>
      <c r="R10" s="210">
        <f>O20</f>
      </c>
      <c r="S10" s="210"/>
      <c r="T10" s="210"/>
      <c r="U10" s="123"/>
      <c r="V10" s="41" t="s">
        <v>0</v>
      </c>
      <c r="W10" s="42"/>
      <c r="X10" s="114">
        <v>25</v>
      </c>
      <c r="Y10" s="29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</row>
    <row r="11" spans="1:47" s="6" customFormat="1" ht="16.5" customHeight="1">
      <c r="A11" s="3"/>
      <c r="B11" s="3"/>
      <c r="C11" s="3"/>
      <c r="D11" s="3"/>
      <c r="E11" s="227" t="s">
        <v>5</v>
      </c>
      <c r="F11" s="212"/>
      <c r="G11" s="212"/>
      <c r="H11" s="228"/>
      <c r="I11" s="3"/>
      <c r="J11" s="3"/>
      <c r="K11" s="3"/>
      <c r="L11" s="99" t="s">
        <v>38</v>
      </c>
      <c r="M11" s="219" t="s">
        <v>52</v>
      </c>
      <c r="N11" s="219"/>
      <c r="O11" s="209">
        <f>I20</f>
      </c>
      <c r="P11" s="209"/>
      <c r="Q11" s="209"/>
      <c r="R11" s="210">
        <f>L20</f>
      </c>
      <c r="S11" s="210"/>
      <c r="T11" s="210"/>
      <c r="U11" s="39"/>
      <c r="V11" s="14" t="s">
        <v>0</v>
      </c>
      <c r="W11" s="31"/>
      <c r="X11" s="114">
        <v>34</v>
      </c>
      <c r="Y11" s="29"/>
      <c r="Z11" s="61"/>
      <c r="AA11" s="61"/>
      <c r="AB11" s="61"/>
      <c r="AC11" s="139"/>
      <c r="AD11" s="139"/>
      <c r="AE11" s="139"/>
      <c r="AF11" s="139"/>
      <c r="AG11" s="139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</row>
    <row r="12" spans="1:47" s="6" customFormat="1" ht="16.5" customHeight="1">
      <c r="A12" s="3"/>
      <c r="B12" s="3"/>
      <c r="C12" s="3"/>
      <c r="D12" s="3"/>
      <c r="E12" s="220" t="s">
        <v>6</v>
      </c>
      <c r="F12" s="221"/>
      <c r="G12" s="221"/>
      <c r="H12" s="35">
        <v>3</v>
      </c>
      <c r="I12" s="3"/>
      <c r="J12" s="3"/>
      <c r="K12" s="3"/>
      <c r="L12" s="99" t="s">
        <v>39</v>
      </c>
      <c r="M12" s="219" t="s">
        <v>89</v>
      </c>
      <c r="N12" s="219"/>
      <c r="O12" s="209">
        <f>C20</f>
      </c>
      <c r="P12" s="209"/>
      <c r="Q12" s="209"/>
      <c r="R12" s="210">
        <f>R20</f>
      </c>
      <c r="S12" s="210"/>
      <c r="T12" s="210"/>
      <c r="U12" s="123"/>
      <c r="V12" s="41" t="s">
        <v>0</v>
      </c>
      <c r="W12" s="42"/>
      <c r="X12" s="114">
        <v>16</v>
      </c>
      <c r="Y12" s="29"/>
      <c r="Z12" s="61"/>
      <c r="AA12" s="61"/>
      <c r="AB12" s="61"/>
      <c r="AC12" s="139"/>
      <c r="AD12" s="139"/>
      <c r="AE12" s="139"/>
      <c r="AF12" s="139"/>
      <c r="AG12" s="139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</row>
    <row r="13" spans="1:47" s="6" customFormat="1" ht="16.5" customHeight="1">
      <c r="A13" s="3"/>
      <c r="B13" s="3"/>
      <c r="C13" s="3"/>
      <c r="D13" s="3"/>
      <c r="E13" s="220" t="s">
        <v>7</v>
      </c>
      <c r="F13" s="221"/>
      <c r="G13" s="221"/>
      <c r="H13" s="35">
        <v>1</v>
      </c>
      <c r="I13" s="3"/>
      <c r="J13" s="3"/>
      <c r="K13" s="3"/>
      <c r="L13" s="99" t="s">
        <v>44</v>
      </c>
      <c r="M13" s="219" t="s">
        <v>57</v>
      </c>
      <c r="N13" s="219"/>
      <c r="O13" s="209">
        <f>I20</f>
      </c>
      <c r="P13" s="209"/>
      <c r="Q13" s="209"/>
      <c r="R13" s="210">
        <f>O20</f>
      </c>
      <c r="S13" s="210"/>
      <c r="T13" s="210"/>
      <c r="U13" s="123"/>
      <c r="V13" s="41" t="s">
        <v>0</v>
      </c>
      <c r="W13" s="42"/>
      <c r="X13" s="114">
        <v>35</v>
      </c>
      <c r="Y13" s="29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</row>
    <row r="14" spans="1:47" s="6" customFormat="1" ht="16.5" customHeight="1" thickBot="1">
      <c r="A14" s="29"/>
      <c r="B14" s="29"/>
      <c r="C14" s="3"/>
      <c r="D14" s="3"/>
      <c r="E14" s="205" t="s">
        <v>8</v>
      </c>
      <c r="F14" s="206"/>
      <c r="G14" s="206"/>
      <c r="H14" s="36">
        <v>0</v>
      </c>
      <c r="I14" s="3"/>
      <c r="J14" s="3"/>
      <c r="K14" s="3"/>
      <c r="L14" s="99" t="s">
        <v>45</v>
      </c>
      <c r="M14" s="219" t="s">
        <v>10</v>
      </c>
      <c r="N14" s="219"/>
      <c r="O14" s="209">
        <f>C20</f>
      </c>
      <c r="P14" s="209"/>
      <c r="Q14" s="209"/>
      <c r="R14" s="210">
        <f>F20</f>
      </c>
      <c r="S14" s="210"/>
      <c r="T14" s="210"/>
      <c r="U14" s="123"/>
      <c r="V14" s="41" t="s">
        <v>0</v>
      </c>
      <c r="W14" s="42"/>
      <c r="X14" s="114">
        <v>12</v>
      </c>
      <c r="Y14" s="29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</row>
    <row r="15" spans="1:47" s="6" customFormat="1" ht="16.5" customHeight="1">
      <c r="A15" s="29"/>
      <c r="B15" s="29"/>
      <c r="C15" s="3"/>
      <c r="D15" s="3"/>
      <c r="E15" s="38"/>
      <c r="F15" s="38"/>
      <c r="G15" s="38"/>
      <c r="H15" s="143"/>
      <c r="I15" s="3"/>
      <c r="J15" s="3"/>
      <c r="K15" s="3"/>
      <c r="L15" s="99" t="s">
        <v>83</v>
      </c>
      <c r="M15" s="219" t="s">
        <v>90</v>
      </c>
      <c r="N15" s="219"/>
      <c r="O15" s="209">
        <f>L20</f>
      </c>
      <c r="P15" s="209"/>
      <c r="Q15" s="209"/>
      <c r="R15" s="210">
        <f>R20</f>
      </c>
      <c r="S15" s="210"/>
      <c r="T15" s="210"/>
      <c r="U15" s="123"/>
      <c r="V15" s="41" t="s">
        <v>0</v>
      </c>
      <c r="W15" s="42"/>
      <c r="X15" s="114">
        <v>46</v>
      </c>
      <c r="Y15" s="29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</row>
    <row r="16" spans="1:47" s="6" customFormat="1" ht="16.5" customHeight="1">
      <c r="A16" s="29"/>
      <c r="B16" s="29"/>
      <c r="C16" s="3"/>
      <c r="D16" s="3"/>
      <c r="E16" s="38"/>
      <c r="F16" s="38"/>
      <c r="G16" s="38"/>
      <c r="H16" s="143"/>
      <c r="I16" s="3"/>
      <c r="J16" s="3"/>
      <c r="K16" s="3"/>
      <c r="L16" s="99" t="s">
        <v>84</v>
      </c>
      <c r="M16" s="219" t="s">
        <v>12</v>
      </c>
      <c r="N16" s="219"/>
      <c r="O16" s="209">
        <f>C20</f>
      </c>
      <c r="P16" s="209"/>
      <c r="Q16" s="209"/>
      <c r="R16" s="210">
        <f>I20</f>
      </c>
      <c r="S16" s="210"/>
      <c r="T16" s="210"/>
      <c r="U16" s="123"/>
      <c r="V16" s="41" t="s">
        <v>0</v>
      </c>
      <c r="W16" s="42"/>
      <c r="X16" s="114">
        <v>13</v>
      </c>
      <c r="Y16" s="29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</row>
    <row r="17" spans="1:47" s="6" customFormat="1" ht="16.5" customHeight="1">
      <c r="A17" s="29"/>
      <c r="B17" s="29"/>
      <c r="C17" s="3"/>
      <c r="D17" s="3"/>
      <c r="E17" s="38"/>
      <c r="F17" s="38"/>
      <c r="G17" s="38"/>
      <c r="H17" s="143"/>
      <c r="I17" s="3"/>
      <c r="J17" s="3"/>
      <c r="K17" s="3"/>
      <c r="L17" s="99" t="s">
        <v>85</v>
      </c>
      <c r="M17" s="219" t="s">
        <v>58</v>
      </c>
      <c r="N17" s="219"/>
      <c r="O17" s="209">
        <f>L20</f>
      </c>
      <c r="P17" s="209"/>
      <c r="Q17" s="209"/>
      <c r="R17" s="210">
        <f>O20</f>
      </c>
      <c r="S17" s="210"/>
      <c r="T17" s="210"/>
      <c r="U17" s="123"/>
      <c r="V17" s="41" t="s">
        <v>0</v>
      </c>
      <c r="W17" s="42"/>
      <c r="X17" s="114">
        <v>45</v>
      </c>
      <c r="Y17" s="29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</row>
    <row r="18" spans="1:47" s="6" customFormat="1" ht="16.5" customHeight="1" thickBot="1">
      <c r="A18" s="29"/>
      <c r="B18" s="29"/>
      <c r="C18" s="3"/>
      <c r="D18" s="3"/>
      <c r="E18" s="38"/>
      <c r="F18" s="38"/>
      <c r="G18" s="38"/>
      <c r="H18" s="143"/>
      <c r="I18" s="3"/>
      <c r="J18" s="3"/>
      <c r="K18" s="3"/>
      <c r="L18" s="102" t="s">
        <v>86</v>
      </c>
      <c r="M18" s="217" t="s">
        <v>91</v>
      </c>
      <c r="N18" s="217"/>
      <c r="O18" s="204">
        <f>F20</f>
      </c>
      <c r="P18" s="204"/>
      <c r="Q18" s="204"/>
      <c r="R18" s="213">
        <f>R20</f>
      </c>
      <c r="S18" s="213"/>
      <c r="T18" s="213"/>
      <c r="U18" s="124"/>
      <c r="V18" s="43" t="s">
        <v>0</v>
      </c>
      <c r="W18" s="44"/>
      <c r="X18" s="114">
        <v>26</v>
      </c>
      <c r="Y18" s="29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</row>
    <row r="19" spans="1:47" s="6" customFormat="1" ht="16.5" customHeight="1" thickBot="1">
      <c r="A19" s="29"/>
      <c r="B19" s="2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4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</row>
    <row r="20" spans="1:51" s="6" customFormat="1" ht="30" customHeight="1">
      <c r="A20" s="29"/>
      <c r="B20" s="45" t="s">
        <v>63</v>
      </c>
      <c r="C20" s="203">
        <f>IF(F4="","",F4)</f>
      </c>
      <c r="D20" s="203"/>
      <c r="E20" s="203"/>
      <c r="F20" s="203">
        <f>IF(F5="","",F5)</f>
      </c>
      <c r="G20" s="203"/>
      <c r="H20" s="203"/>
      <c r="I20" s="203">
        <f>IF(F6="","",F6)</f>
      </c>
      <c r="J20" s="203"/>
      <c r="K20" s="203"/>
      <c r="L20" s="203">
        <f>IF(F7="","",F7)</f>
      </c>
      <c r="M20" s="203"/>
      <c r="N20" s="203"/>
      <c r="O20" s="203">
        <f>IF(F8="","",F8)</f>
      </c>
      <c r="P20" s="203"/>
      <c r="Q20" s="203"/>
      <c r="R20" s="203">
        <f>IF(F9="","",F9)</f>
      </c>
      <c r="S20" s="203"/>
      <c r="T20" s="203"/>
      <c r="U20" s="212" t="s">
        <v>1</v>
      </c>
      <c r="V20" s="212"/>
      <c r="W20" s="212"/>
      <c r="X20" s="4" t="s">
        <v>2</v>
      </c>
      <c r="Y20" s="5" t="s">
        <v>3</v>
      </c>
      <c r="Z20" s="61"/>
      <c r="AA20" s="61"/>
      <c r="AB20" s="61"/>
      <c r="AC20" s="112">
        <v>21</v>
      </c>
      <c r="AD20" s="61"/>
      <c r="AE20" s="112">
        <v>20</v>
      </c>
      <c r="AF20" s="61"/>
      <c r="AG20" s="112">
        <v>19</v>
      </c>
      <c r="AH20" s="61"/>
      <c r="AI20" s="137">
        <v>18</v>
      </c>
      <c r="AJ20" s="61"/>
      <c r="AK20" s="137">
        <v>18</v>
      </c>
      <c r="AL20" s="112">
        <v>18</v>
      </c>
      <c r="AM20" s="61"/>
      <c r="AN20" s="112">
        <v>17</v>
      </c>
      <c r="AO20" s="61"/>
      <c r="AP20" s="137">
        <v>15</v>
      </c>
      <c r="AQ20" s="61"/>
      <c r="AR20" s="137">
        <v>15</v>
      </c>
      <c r="AS20" s="112">
        <v>15</v>
      </c>
      <c r="AT20" s="61"/>
      <c r="AU20" s="112">
        <v>14</v>
      </c>
      <c r="AV20" s="61"/>
      <c r="AW20" s="112">
        <v>11</v>
      </c>
      <c r="AY20" s="112" t="s">
        <v>62</v>
      </c>
    </row>
    <row r="21" spans="1:51" s="6" customFormat="1" ht="30" customHeight="1">
      <c r="A21" s="29">
        <v>1</v>
      </c>
      <c r="B21" s="58">
        <f>C20</f>
      </c>
      <c r="C21" s="70">
        <f>IF(F21&gt;H21,H12,IF(F21=H21,H13,H14))</f>
        <v>1</v>
      </c>
      <c r="D21" s="71">
        <f>IF(I21&gt;K21,H12,IF(I21=K21,H13,H14))</f>
        <v>1</v>
      </c>
      <c r="E21" s="73">
        <f>IF(L21&gt;N21,H12,IF(L21=N21,H13,H14))</f>
        <v>1</v>
      </c>
      <c r="F21" s="10">
        <f>IF(W14="","",U14)</f>
      </c>
      <c r="G21" s="11" t="s">
        <v>0</v>
      </c>
      <c r="H21" s="12">
        <f>IF(W14="","",W14)</f>
      </c>
      <c r="I21" s="10">
        <f>IF(W16="","",U16)</f>
      </c>
      <c r="J21" s="11" t="s">
        <v>0</v>
      </c>
      <c r="K21" s="12">
        <f>IF(W16="","",W16)</f>
      </c>
      <c r="L21" s="10">
        <f>IF(W4="","",U4)</f>
      </c>
      <c r="M21" s="11" t="s">
        <v>0</v>
      </c>
      <c r="N21" s="12">
        <f>IF(W4="","",W4)</f>
      </c>
      <c r="O21" s="69">
        <f>IF(W8="","",U8)</f>
      </c>
      <c r="P21" s="11" t="s">
        <v>0</v>
      </c>
      <c r="Q21" s="12">
        <f>IF(W8="","",W8)</f>
      </c>
      <c r="R21" s="69">
        <f>IF(W12="","",U12)</f>
      </c>
      <c r="S21" s="11" t="s">
        <v>0</v>
      </c>
      <c r="T21" s="12">
        <f>IF(W12="","",W12)</f>
      </c>
      <c r="U21" s="13">
        <f>IF(W18="","",F21+I21+L21+O21+R21)</f>
      </c>
      <c r="V21" s="14" t="s">
        <v>0</v>
      </c>
      <c r="W21" s="15">
        <f>IF(W18="","",H21+K21+N21+Q21+T21)</f>
      </c>
      <c r="X21" s="16">
        <f>IF(W18="","",SUM(C21:E21)+Z21+AA21)</f>
      </c>
      <c r="Y21" s="17">
        <f aca="true" t="shared" si="0" ref="Y21:Y26">IF($W$18="","",AY21&amp;".")</f>
      </c>
      <c r="Z21" s="61">
        <f>IF(O21&gt;Q21,$H$12,IF(O21=Q21,$H$13,$H$14))</f>
        <v>1</v>
      </c>
      <c r="AA21" s="61">
        <f>IF(R21&gt;T21,$H$12,IF(R21=T21,$H$13,$H$14))</f>
        <v>1</v>
      </c>
      <c r="AB21" s="61" t="e">
        <f aca="true" t="shared" si="1" ref="AB21:AB26">0.001*(U21-W21)+0.00001*U21</f>
        <v>#VALUE!</v>
      </c>
      <c r="AC21" s="113" t="e">
        <f aca="true" t="shared" si="2" ref="AC21:AC26">RANK(X21,$X$21:$X$26)</f>
        <v>#VALUE!</v>
      </c>
      <c r="AD21" s="61" t="e">
        <f aca="true" t="shared" si="3" ref="AD21:AD26">IF(A21=$AD$32,X21+0.1+AB21,X21+AB21)</f>
        <v>#N/A</v>
      </c>
      <c r="AE21" s="113" t="e">
        <f aca="true" t="shared" si="4" ref="AE21:AE26">RANK(AD21,$AD$21:$AD$26)</f>
        <v>#N/A</v>
      </c>
      <c r="AF21" s="61" t="e">
        <f aca="true" t="shared" si="5" ref="AF21:AF26">IF(A21=$AF$36,X21+0.1+AB21,IF(A21=$AG$36,X21+0.1+AB21,X21+AB21))</f>
        <v>#N/A</v>
      </c>
      <c r="AG21" s="113" t="e">
        <f aca="true" t="shared" si="6" ref="AG21:AG26">RANK(AF21,$AF$21:$AF$26)</f>
        <v>#N/A</v>
      </c>
      <c r="AH21" s="61" t="e">
        <f>IF(A21=$AH$33,X21+0.1+AB21,IF(A21=$AH$34,X21+0.1+AB21,IF(A21=#REF!,X21+0.1+AB21,X21+AB21)))</f>
        <v>#N/A</v>
      </c>
      <c r="AI21" s="113" t="e">
        <f aca="true" t="shared" si="7" ref="AI21:AI26">RANK(AH21,$AH$21:$AH$26)</f>
        <v>#N/A</v>
      </c>
      <c r="AJ21" s="61" t="e">
        <f aca="true" t="shared" si="8" ref="AJ21:AJ26">IF(A21=$AJ$28,X21+$E$36,IF(A21=$AJ$29,X21+$H$37,IF(A21=$AJ$30,X21+$K$38,X21+AB21)))</f>
        <v>#N/A</v>
      </c>
      <c r="AK21" s="113" t="e">
        <f aca="true" t="shared" si="9" ref="AK21:AK26">RANK(AJ21,$AJ$21:$AJ$26)</f>
        <v>#N/A</v>
      </c>
      <c r="AL21" s="113" t="e">
        <f aca="true" t="shared" si="10" ref="AL21:AL26">IF($AJ$27=0,AI21,AK21)</f>
        <v>#N/A</v>
      </c>
      <c r="AM21" s="61" t="e">
        <f aca="true" t="shared" si="11" ref="AM21:AM26">IF(A21=$AM$28,X21+$E$36,IF(A21=$AM$29,X21+$H$37,IF(A21=$AM$30,X21+$K$38,IF(A21=$AN$35,X21+0.1+AB21,X21+AB21))))</f>
        <v>#N/A</v>
      </c>
      <c r="AN21" s="113" t="e">
        <f aca="true" t="shared" si="12" ref="AN21:AN26">RANK(AM21,$AM$21:$AM$26)</f>
        <v>#N/A</v>
      </c>
      <c r="AO21" s="63" t="e">
        <f aca="true" t="shared" si="13" ref="AO21:AO26">X21+IF(A21=$AO$27,$E$36,IF(A21=$AO$28,$H$37,IF(A21=$AO$29,$K$38,IF(A21=$AP$27,$E$41,IF(A21=$AP$28,$H$42,$K$43)))))</f>
        <v>#VALUE!</v>
      </c>
      <c r="AP21" s="113" t="e">
        <f aca="true" t="shared" si="14" ref="AP21:AP26">RANK(AO21,$AO$21:$AO$26)</f>
        <v>#VALUE!</v>
      </c>
      <c r="AQ21" s="63" t="e">
        <f aca="true" t="shared" si="15" ref="AQ21:AQ26">X21+IF(A21=$AQ$28,$U$46,IF(A21=$AQ$29,$U$47,IF(A21=$AQ$30,$U$48,IF(A21=$AQ$31,$U$49,AB21))))</f>
        <v>#VALUE!</v>
      </c>
      <c r="AR21" s="113" t="e">
        <f aca="true" t="shared" si="16" ref="AR21:AR26">RANK(AQ21,$AQ$21:$AQ$26)</f>
        <v>#VALUE!</v>
      </c>
      <c r="AS21" s="113" t="e">
        <f aca="true" t="shared" si="17" ref="AS21:AS26">IF($AQ$27=0,AP21,AR21)</f>
        <v>#VALUE!</v>
      </c>
      <c r="AT21" s="63" t="e">
        <f aca="true" t="shared" si="18" ref="AT21:AT26">X21+IF(A21=$AT$28,$U$46,IF(A21=$AT$29,$U$47,IF(A21=$AT$30,$U$48,IF(A21=$AT$31,$U$49,IF(A21=$AU$31,0.1+AB21,AB21)))))</f>
        <v>#VALUE!</v>
      </c>
      <c r="AU21" s="113" t="e">
        <f aca="true" t="shared" si="19" ref="AU21:AU26">RANK(AT21,$AT$21:$AT$26)</f>
        <v>#VALUE!</v>
      </c>
      <c r="AV21" s="63" t="e">
        <f aca="true" t="shared" si="20" ref="AV21:AV26">X21+0.001*AB21+IF(A21=$AW$27,$Y$52,IF(A21=$AV$28,$Y$53,IF(A21=$AW$28,$Y$54,IF(A21=$AV$29,$Y$55,IF(A21=$AW$29,$Y$56,0)))))</f>
        <v>#VALUE!</v>
      </c>
      <c r="AW21" s="113" t="e">
        <f aca="true" t="shared" si="21" ref="AW21:AW26">RANK(AV21,$AV$21:$AV$26)</f>
        <v>#VALUE!</v>
      </c>
      <c r="AY21" s="113" t="e">
        <f aca="true" t="shared" si="22" ref="AY21:AY26">IF($AC$27=21,AC21,IF($AC$27=20,AE21,IF($AC$27=19,AG21,IF($AC$27=18,AL21,IF($AC$27=17,AN21,IF($AC$27=15,AS21,IF($AC$27=14,AU21,AW21)))))))</f>
        <v>#VALUE!</v>
      </c>
    </row>
    <row r="22" spans="1:51" s="6" customFormat="1" ht="30" customHeight="1">
      <c r="A22" s="29">
        <v>2</v>
      </c>
      <c r="B22" s="58">
        <f>F20</f>
      </c>
      <c r="C22" s="10">
        <f>H21</f>
      </c>
      <c r="D22" s="11" t="s">
        <v>0</v>
      </c>
      <c r="E22" s="12">
        <f>F21</f>
      </c>
      <c r="F22" s="70">
        <f>IF(C22&gt;E22,H12,IF(C22=E22,H13,H14))</f>
        <v>1</v>
      </c>
      <c r="G22" s="71">
        <f>IF(I22&gt;K22,H12,IF(I22=K22,H13,H14))</f>
        <v>1</v>
      </c>
      <c r="H22" s="73">
        <f>IF(L22&gt;N22,H12,IF(L22=N22,H13,H14))</f>
        <v>1</v>
      </c>
      <c r="I22" s="10">
        <f>IF(W5="","",U5)</f>
      </c>
      <c r="J22" s="11" t="s">
        <v>0</v>
      </c>
      <c r="K22" s="12">
        <f>IF(W5="","",W5)</f>
      </c>
      <c r="L22" s="10">
        <f>IF(W7="","",U7)</f>
      </c>
      <c r="M22" s="11" t="s">
        <v>0</v>
      </c>
      <c r="N22" s="12">
        <f>IF(W7="","",W7)</f>
      </c>
      <c r="O22" s="69">
        <f>IF(W10="","",U10)</f>
      </c>
      <c r="P22" s="11" t="s">
        <v>0</v>
      </c>
      <c r="Q22" s="12">
        <f>IF(W10="","",W10)</f>
      </c>
      <c r="R22" s="69">
        <f>IF(W18="","",U18)</f>
      </c>
      <c r="S22" s="11" t="s">
        <v>0</v>
      </c>
      <c r="T22" s="12">
        <f>IF(W18="","",W18)</f>
      </c>
      <c r="U22" s="13">
        <f>IF(W18="","",C22+I22+L22+O22+R22)</f>
      </c>
      <c r="V22" s="14" t="s">
        <v>0</v>
      </c>
      <c r="W22" s="15">
        <f>IF(W18="","",E22+K22+N22+Q22+T22)</f>
      </c>
      <c r="X22" s="16">
        <f>IF(W18="","",SUM(F22:H22)+Z22+AA22)</f>
      </c>
      <c r="Y22" s="17">
        <f t="shared" si="0"/>
      </c>
      <c r="Z22" s="61">
        <f>IF(O22&gt;Q22,$H$12,IF(O22=Q22,$H$13,$H$14))</f>
        <v>1</v>
      </c>
      <c r="AA22" s="61">
        <f>IF(R22&gt;T22,$H$12,IF(R22=T22,$H$13,$H$14))</f>
        <v>1</v>
      </c>
      <c r="AB22" s="61" t="e">
        <f t="shared" si="1"/>
        <v>#VALUE!</v>
      </c>
      <c r="AC22" s="113" t="e">
        <f t="shared" si="2"/>
        <v>#VALUE!</v>
      </c>
      <c r="AD22" s="61" t="e">
        <f t="shared" si="3"/>
        <v>#N/A</v>
      </c>
      <c r="AE22" s="113" t="e">
        <f t="shared" si="4"/>
        <v>#N/A</v>
      </c>
      <c r="AF22" s="61" t="e">
        <f t="shared" si="5"/>
        <v>#N/A</v>
      </c>
      <c r="AG22" s="113" t="e">
        <f t="shared" si="6"/>
        <v>#N/A</v>
      </c>
      <c r="AH22" s="61" t="e">
        <f>IF(A22=$AH$33,X22+0.1+AB22,IF(A22=$AH$34,X22+0.1+AB22,IF(A22=#REF!,X22+0.1+AB22,X22+AB22)))</f>
        <v>#N/A</v>
      </c>
      <c r="AI22" s="113" t="e">
        <f t="shared" si="7"/>
        <v>#N/A</v>
      </c>
      <c r="AJ22" s="61" t="e">
        <f t="shared" si="8"/>
        <v>#N/A</v>
      </c>
      <c r="AK22" s="113" t="e">
        <f t="shared" si="9"/>
        <v>#N/A</v>
      </c>
      <c r="AL22" s="113" t="e">
        <f t="shared" si="10"/>
        <v>#N/A</v>
      </c>
      <c r="AM22" s="61" t="e">
        <f t="shared" si="11"/>
        <v>#N/A</v>
      </c>
      <c r="AN22" s="113" t="e">
        <f t="shared" si="12"/>
        <v>#N/A</v>
      </c>
      <c r="AO22" s="63" t="e">
        <f t="shared" si="13"/>
        <v>#VALUE!</v>
      </c>
      <c r="AP22" s="113" t="e">
        <f t="shared" si="14"/>
        <v>#VALUE!</v>
      </c>
      <c r="AQ22" s="63" t="e">
        <f t="shared" si="15"/>
        <v>#VALUE!</v>
      </c>
      <c r="AR22" s="113" t="e">
        <f t="shared" si="16"/>
        <v>#VALUE!</v>
      </c>
      <c r="AS22" s="113" t="e">
        <f t="shared" si="17"/>
        <v>#VALUE!</v>
      </c>
      <c r="AT22" s="63" t="e">
        <f t="shared" si="18"/>
        <v>#VALUE!</v>
      </c>
      <c r="AU22" s="113" t="e">
        <f t="shared" si="19"/>
        <v>#VALUE!</v>
      </c>
      <c r="AV22" s="63" t="e">
        <f t="shared" si="20"/>
        <v>#VALUE!</v>
      </c>
      <c r="AW22" s="113" t="e">
        <f t="shared" si="21"/>
        <v>#VALUE!</v>
      </c>
      <c r="AY22" s="113" t="e">
        <f t="shared" si="22"/>
        <v>#VALUE!</v>
      </c>
    </row>
    <row r="23" spans="1:51" s="6" customFormat="1" ht="30" customHeight="1">
      <c r="A23" s="29">
        <v>3</v>
      </c>
      <c r="B23" s="58">
        <f>I20</f>
      </c>
      <c r="C23" s="10">
        <f>K21</f>
      </c>
      <c r="D23" s="11" t="s">
        <v>0</v>
      </c>
      <c r="E23" s="12">
        <f>I21</f>
      </c>
      <c r="F23" s="10">
        <f>K22</f>
      </c>
      <c r="G23" s="11" t="s">
        <v>0</v>
      </c>
      <c r="H23" s="12">
        <f>I22</f>
      </c>
      <c r="I23" s="71">
        <f>IF(C23&gt;E23,H12,IF(C23=E23,H13,H14))</f>
        <v>1</v>
      </c>
      <c r="J23" s="71">
        <f>IF(F23&gt;H23,H12,IF(F23=H23,H13,H14))</f>
        <v>1</v>
      </c>
      <c r="K23" s="74">
        <f>IF(L23&gt;N23,H12,IF(L23=N23,H13,H14))</f>
        <v>1</v>
      </c>
      <c r="L23" s="10">
        <f>IF(W11="","",U11)</f>
      </c>
      <c r="M23" s="11" t="s">
        <v>0</v>
      </c>
      <c r="N23" s="12">
        <f>IF(W11="","",W11)</f>
      </c>
      <c r="O23" s="69">
        <f>IF(W13="","",U13)</f>
      </c>
      <c r="P23" s="11" t="s">
        <v>0</v>
      </c>
      <c r="Q23" s="12">
        <f>IF(W13="","",W13)</f>
      </c>
      <c r="R23" s="69">
        <f>IF(W9="","",U9)</f>
      </c>
      <c r="S23" s="11" t="s">
        <v>0</v>
      </c>
      <c r="T23" s="12">
        <f>IF(W9="","",W9)</f>
      </c>
      <c r="U23" s="13">
        <f>IF(W18="","",C23+F23+L23+O23+R23)</f>
      </c>
      <c r="V23" s="14" t="s">
        <v>0</v>
      </c>
      <c r="W23" s="15">
        <f>IF(W18="","",E23+H23+N23+Q23+T23)</f>
      </c>
      <c r="X23" s="16">
        <f>IF(W18="","",SUM(I23:K23)+Z23+AA23)</f>
      </c>
      <c r="Y23" s="17">
        <f t="shared" si="0"/>
      </c>
      <c r="Z23" s="61">
        <f>IF(O23&gt;Q23,$H$12,IF(O23=Q23,$H$13,$H$14))</f>
        <v>1</v>
      </c>
      <c r="AA23" s="61">
        <f>IF(R23&gt;T23,$H$12,IF(R23=T23,$H$13,$H$14))</f>
        <v>1</v>
      </c>
      <c r="AB23" s="61" t="e">
        <f t="shared" si="1"/>
        <v>#VALUE!</v>
      </c>
      <c r="AC23" s="113" t="e">
        <f t="shared" si="2"/>
        <v>#VALUE!</v>
      </c>
      <c r="AD23" s="61" t="e">
        <f t="shared" si="3"/>
        <v>#N/A</v>
      </c>
      <c r="AE23" s="113" t="e">
        <f t="shared" si="4"/>
        <v>#N/A</v>
      </c>
      <c r="AF23" s="61" t="e">
        <f t="shared" si="5"/>
        <v>#N/A</v>
      </c>
      <c r="AG23" s="113" t="e">
        <f t="shared" si="6"/>
        <v>#N/A</v>
      </c>
      <c r="AH23" s="61" t="e">
        <f>IF(A23=$AH$33,X23+0.1+AB23,IF(A23=$AH$34,X23+0.1+AB23,IF(A23=#REF!,X23+0.1+AB23,X23+AB23)))</f>
        <v>#N/A</v>
      </c>
      <c r="AI23" s="113" t="e">
        <f t="shared" si="7"/>
        <v>#N/A</v>
      </c>
      <c r="AJ23" s="61" t="e">
        <f t="shared" si="8"/>
        <v>#N/A</v>
      </c>
      <c r="AK23" s="113" t="e">
        <f t="shared" si="9"/>
        <v>#N/A</v>
      </c>
      <c r="AL23" s="113" t="e">
        <f t="shared" si="10"/>
        <v>#N/A</v>
      </c>
      <c r="AM23" s="61" t="e">
        <f t="shared" si="11"/>
        <v>#N/A</v>
      </c>
      <c r="AN23" s="113" t="e">
        <f t="shared" si="12"/>
        <v>#N/A</v>
      </c>
      <c r="AO23" s="63" t="e">
        <f t="shared" si="13"/>
        <v>#VALUE!</v>
      </c>
      <c r="AP23" s="113" t="e">
        <f t="shared" si="14"/>
        <v>#VALUE!</v>
      </c>
      <c r="AQ23" s="63" t="e">
        <f t="shared" si="15"/>
        <v>#VALUE!</v>
      </c>
      <c r="AR23" s="113" t="e">
        <f t="shared" si="16"/>
        <v>#VALUE!</v>
      </c>
      <c r="AS23" s="113" t="e">
        <f t="shared" si="17"/>
        <v>#VALUE!</v>
      </c>
      <c r="AT23" s="63" t="e">
        <f t="shared" si="18"/>
        <v>#VALUE!</v>
      </c>
      <c r="AU23" s="113" t="e">
        <f t="shared" si="19"/>
        <v>#VALUE!</v>
      </c>
      <c r="AV23" s="63" t="e">
        <f t="shared" si="20"/>
        <v>#VALUE!</v>
      </c>
      <c r="AW23" s="113" t="e">
        <f t="shared" si="21"/>
        <v>#VALUE!</v>
      </c>
      <c r="AY23" s="113" t="e">
        <f t="shared" si="22"/>
        <v>#VALUE!</v>
      </c>
    </row>
    <row r="24" spans="1:51" s="6" customFormat="1" ht="30" customHeight="1">
      <c r="A24" s="29">
        <v>4</v>
      </c>
      <c r="B24" s="58">
        <f>L20</f>
      </c>
      <c r="C24" s="10">
        <f>N21</f>
      </c>
      <c r="D24" s="11" t="s">
        <v>0</v>
      </c>
      <c r="E24" s="12">
        <f>L21</f>
      </c>
      <c r="F24" s="10">
        <f>N22</f>
      </c>
      <c r="G24" s="11" t="s">
        <v>0</v>
      </c>
      <c r="H24" s="12">
        <f>L22</f>
      </c>
      <c r="I24" s="10">
        <f>N23</f>
      </c>
      <c r="J24" s="11" t="s">
        <v>0</v>
      </c>
      <c r="K24" s="12">
        <f>L23</f>
      </c>
      <c r="L24" s="71">
        <f>IF(C24&gt;E24,H12,IF(C24=E24,H13,H14))</f>
        <v>1</v>
      </c>
      <c r="M24" s="71">
        <f>IF(F24&gt;H24,H12,IF(F24=H24,H13,H14))</f>
        <v>1</v>
      </c>
      <c r="N24" s="74">
        <f>IF(I24&gt;K24,H12,IF(I24=K24,H13,H14))</f>
        <v>1</v>
      </c>
      <c r="O24" s="69">
        <f>IF(W17="","",U17)</f>
      </c>
      <c r="P24" s="11" t="s">
        <v>0</v>
      </c>
      <c r="Q24" s="12">
        <f>IF(W17="","",W17)</f>
      </c>
      <c r="R24" s="69">
        <f>IF(W15="","",U15)</f>
      </c>
      <c r="S24" s="11" t="s">
        <v>0</v>
      </c>
      <c r="T24" s="12">
        <f>IF(W15="","",W15)</f>
      </c>
      <c r="U24" s="13">
        <f>IF(W18="","",C24+F24+I24+O24+R24)</f>
      </c>
      <c r="V24" s="14" t="s">
        <v>0</v>
      </c>
      <c r="W24" s="15">
        <f>IF(W18="","",E24+H24+K24+Q24+T24)</f>
      </c>
      <c r="X24" s="16">
        <f>IF(W18="","",SUM(L24:N24)+Z24+AA24)</f>
      </c>
      <c r="Y24" s="17">
        <f t="shared" si="0"/>
      </c>
      <c r="Z24" s="61">
        <f>IF(O24&gt;Q24,$H$12,IF(O24=Q24,$H$13,$H$14))</f>
        <v>1</v>
      </c>
      <c r="AA24" s="61">
        <f>IF(R24&gt;T24,$H$12,IF(R24=T24,$H$13,$H$14))</f>
        <v>1</v>
      </c>
      <c r="AB24" s="61" t="e">
        <f t="shared" si="1"/>
        <v>#VALUE!</v>
      </c>
      <c r="AC24" s="113" t="e">
        <f t="shared" si="2"/>
        <v>#VALUE!</v>
      </c>
      <c r="AD24" s="61" t="e">
        <f t="shared" si="3"/>
        <v>#N/A</v>
      </c>
      <c r="AE24" s="113" t="e">
        <f t="shared" si="4"/>
        <v>#N/A</v>
      </c>
      <c r="AF24" s="61" t="e">
        <f t="shared" si="5"/>
        <v>#N/A</v>
      </c>
      <c r="AG24" s="113" t="e">
        <f t="shared" si="6"/>
        <v>#N/A</v>
      </c>
      <c r="AH24" s="61" t="e">
        <f>IF(A24=$AH$33,X24+0.1+AB24,IF(A24=$AH$34,X24+0.1+AB24,IF(A24=#REF!,X24+0.1+AB24,X24+AB24)))</f>
        <v>#N/A</v>
      </c>
      <c r="AI24" s="113" t="e">
        <f t="shared" si="7"/>
        <v>#N/A</v>
      </c>
      <c r="AJ24" s="61" t="e">
        <f t="shared" si="8"/>
        <v>#N/A</v>
      </c>
      <c r="AK24" s="113" t="e">
        <f t="shared" si="9"/>
        <v>#N/A</v>
      </c>
      <c r="AL24" s="113" t="e">
        <f t="shared" si="10"/>
        <v>#N/A</v>
      </c>
      <c r="AM24" s="61" t="e">
        <f t="shared" si="11"/>
        <v>#N/A</v>
      </c>
      <c r="AN24" s="113" t="e">
        <f t="shared" si="12"/>
        <v>#N/A</v>
      </c>
      <c r="AO24" s="63" t="e">
        <f t="shared" si="13"/>
        <v>#VALUE!</v>
      </c>
      <c r="AP24" s="113" t="e">
        <f t="shared" si="14"/>
        <v>#VALUE!</v>
      </c>
      <c r="AQ24" s="63" t="e">
        <f t="shared" si="15"/>
        <v>#VALUE!</v>
      </c>
      <c r="AR24" s="113" t="e">
        <f t="shared" si="16"/>
        <v>#VALUE!</v>
      </c>
      <c r="AS24" s="113" t="e">
        <f t="shared" si="17"/>
        <v>#VALUE!</v>
      </c>
      <c r="AT24" s="63" t="e">
        <f t="shared" si="18"/>
        <v>#VALUE!</v>
      </c>
      <c r="AU24" s="113" t="e">
        <f t="shared" si="19"/>
        <v>#VALUE!</v>
      </c>
      <c r="AV24" s="63" t="e">
        <f t="shared" si="20"/>
        <v>#VALUE!</v>
      </c>
      <c r="AW24" s="113" t="e">
        <f t="shared" si="21"/>
        <v>#VALUE!</v>
      </c>
      <c r="AY24" s="113" t="e">
        <f t="shared" si="22"/>
        <v>#VALUE!</v>
      </c>
    </row>
    <row r="25" spans="1:51" s="6" customFormat="1" ht="30" customHeight="1">
      <c r="A25" s="29">
        <v>5</v>
      </c>
      <c r="B25" s="58">
        <f>O20</f>
      </c>
      <c r="C25" s="10">
        <f>Q21</f>
      </c>
      <c r="D25" s="11" t="s">
        <v>0</v>
      </c>
      <c r="E25" s="12">
        <f>O21</f>
      </c>
      <c r="F25" s="10">
        <f>Q22</f>
      </c>
      <c r="G25" s="11" t="s">
        <v>0</v>
      </c>
      <c r="H25" s="12">
        <f>O22</f>
      </c>
      <c r="I25" s="10">
        <f>Q23</f>
      </c>
      <c r="J25" s="11" t="s">
        <v>0</v>
      </c>
      <c r="K25" s="12">
        <f>O23</f>
      </c>
      <c r="L25" s="10">
        <f>Q24</f>
      </c>
      <c r="M25" s="11" t="s">
        <v>0</v>
      </c>
      <c r="N25" s="12">
        <f>O24</f>
      </c>
      <c r="O25" s="71">
        <f>IF(C25&gt;E25,H12,IF(C25=E25,H13,H14))</f>
        <v>1</v>
      </c>
      <c r="P25" s="71">
        <f>IF(F25&gt;H25,H12,IF(F25=H25,H13,H14))</f>
        <v>1</v>
      </c>
      <c r="Q25" s="74">
        <f>IF(I25&gt;K25,H12,IF(I25=K25,H13,H14))</f>
        <v>1</v>
      </c>
      <c r="R25" s="69">
        <f>IF(W6="","",U6)</f>
      </c>
      <c r="S25" s="11" t="s">
        <v>0</v>
      </c>
      <c r="T25" s="12">
        <f>IF(W6="","",W6)</f>
      </c>
      <c r="U25" s="13">
        <f>IF(W18="","",C25+F25+I25+L25+R25)</f>
      </c>
      <c r="V25" s="14" t="s">
        <v>0</v>
      </c>
      <c r="W25" s="15">
        <f>IF(W18="","",E25+H25+K25+N25+T25)</f>
      </c>
      <c r="X25" s="16">
        <f>IF(W18="","",SUM(O25:Q25)+Z25+AA25)</f>
      </c>
      <c r="Y25" s="17">
        <f t="shared" si="0"/>
      </c>
      <c r="Z25" s="61">
        <f>IF(L25&gt;N25,$H$12,IF(L25=N25,$H$13,$H$14))</f>
        <v>1</v>
      </c>
      <c r="AA25" s="61">
        <f>IF(R25&gt;T25,$H$12,IF(R25=T25,$H$13,$H$14))</f>
        <v>1</v>
      </c>
      <c r="AB25" s="61" t="e">
        <f t="shared" si="1"/>
        <v>#VALUE!</v>
      </c>
      <c r="AC25" s="113" t="e">
        <f t="shared" si="2"/>
        <v>#VALUE!</v>
      </c>
      <c r="AD25" s="61" t="e">
        <f t="shared" si="3"/>
        <v>#N/A</v>
      </c>
      <c r="AE25" s="113" t="e">
        <f t="shared" si="4"/>
        <v>#N/A</v>
      </c>
      <c r="AF25" s="61" t="e">
        <f t="shared" si="5"/>
        <v>#N/A</v>
      </c>
      <c r="AG25" s="113" t="e">
        <f t="shared" si="6"/>
        <v>#N/A</v>
      </c>
      <c r="AH25" s="61" t="e">
        <f>IF(A25=$AH$33,X25+0.1+AB25,IF(A25=$AH$34,X25+0.1+AB25,IF(A25=#REF!,X25+0.1+AB25,X25+AB25)))</f>
        <v>#N/A</v>
      </c>
      <c r="AI25" s="113" t="e">
        <f t="shared" si="7"/>
        <v>#N/A</v>
      </c>
      <c r="AJ25" s="61" t="e">
        <f t="shared" si="8"/>
        <v>#N/A</v>
      </c>
      <c r="AK25" s="113" t="e">
        <f t="shared" si="9"/>
        <v>#N/A</v>
      </c>
      <c r="AL25" s="113" t="e">
        <f t="shared" si="10"/>
        <v>#N/A</v>
      </c>
      <c r="AM25" s="61" t="e">
        <f t="shared" si="11"/>
        <v>#N/A</v>
      </c>
      <c r="AN25" s="113" t="e">
        <f t="shared" si="12"/>
        <v>#N/A</v>
      </c>
      <c r="AO25" s="63" t="e">
        <f t="shared" si="13"/>
        <v>#VALUE!</v>
      </c>
      <c r="AP25" s="113" t="e">
        <f t="shared" si="14"/>
        <v>#VALUE!</v>
      </c>
      <c r="AQ25" s="63" t="e">
        <f t="shared" si="15"/>
        <v>#VALUE!</v>
      </c>
      <c r="AR25" s="113" t="e">
        <f t="shared" si="16"/>
        <v>#VALUE!</v>
      </c>
      <c r="AS25" s="113" t="e">
        <f t="shared" si="17"/>
        <v>#VALUE!</v>
      </c>
      <c r="AT25" s="63" t="e">
        <f t="shared" si="18"/>
        <v>#VALUE!</v>
      </c>
      <c r="AU25" s="113" t="e">
        <f t="shared" si="19"/>
        <v>#VALUE!</v>
      </c>
      <c r="AV25" s="63" t="e">
        <f t="shared" si="20"/>
        <v>#VALUE!</v>
      </c>
      <c r="AW25" s="113" t="e">
        <f t="shared" si="21"/>
        <v>#VALUE!</v>
      </c>
      <c r="AY25" s="113" t="e">
        <f t="shared" si="22"/>
        <v>#VALUE!</v>
      </c>
    </row>
    <row r="26" spans="1:51" ht="30" customHeight="1" thickBot="1">
      <c r="A26" s="2">
        <v>6</v>
      </c>
      <c r="B26" s="59">
        <f>R20</f>
      </c>
      <c r="C26" s="51">
        <f>T21</f>
      </c>
      <c r="D26" s="52" t="s">
        <v>0</v>
      </c>
      <c r="E26" s="53">
        <f>R21</f>
      </c>
      <c r="F26" s="51">
        <f>T22</f>
      </c>
      <c r="G26" s="52" t="s">
        <v>0</v>
      </c>
      <c r="H26" s="53">
        <f>R22</f>
      </c>
      <c r="I26" s="51">
        <f>T23</f>
      </c>
      <c r="J26" s="52" t="s">
        <v>0</v>
      </c>
      <c r="K26" s="53">
        <f>R23</f>
      </c>
      <c r="L26" s="51">
        <f>T24</f>
      </c>
      <c r="M26" s="52" t="s">
        <v>0</v>
      </c>
      <c r="N26" s="53">
        <f>R24</f>
      </c>
      <c r="O26" s="51">
        <f>T25</f>
      </c>
      <c r="P26" s="52" t="s">
        <v>0</v>
      </c>
      <c r="Q26" s="53">
        <f>R25</f>
      </c>
      <c r="R26" s="75">
        <f>IF(C26&gt;E26,H12,IF(C26=E26,H13,H14))</f>
        <v>1</v>
      </c>
      <c r="S26" s="75">
        <f>IF(F26&gt;H26,H12,IF(F26=H26,H13,H14))</f>
        <v>1</v>
      </c>
      <c r="T26" s="76">
        <f>IF(I26&gt;K26,H12,IF(I26=K26,H13,H14))</f>
        <v>1</v>
      </c>
      <c r="U26" s="24">
        <f>IF(W18="","",C26+F26+I26+L26+O26)</f>
      </c>
      <c r="V26" s="43" t="s">
        <v>0</v>
      </c>
      <c r="W26" s="26">
        <f>IF(W18="","",E26+H26+K26+N26+Q26)</f>
      </c>
      <c r="X26" s="27">
        <f>IF(W18="","",SUM(R26:T26)+Z26+AA26)</f>
      </c>
      <c r="Y26" s="122">
        <f t="shared" si="0"/>
      </c>
      <c r="Z26" s="61">
        <f>IF(L26&gt;N26,$H$12,IF(L26=N26,$H$13,$H$14))</f>
        <v>1</v>
      </c>
      <c r="AA26" s="61">
        <f>IF(O26&gt;Q26,$H$12,IF(O26=Q26,$H$13,$H$14))</f>
        <v>1</v>
      </c>
      <c r="AB26" s="61" t="e">
        <f t="shared" si="1"/>
        <v>#VALUE!</v>
      </c>
      <c r="AC26" s="113" t="e">
        <f t="shared" si="2"/>
        <v>#VALUE!</v>
      </c>
      <c r="AD26" s="61" t="e">
        <f t="shared" si="3"/>
        <v>#N/A</v>
      </c>
      <c r="AE26" s="113" t="e">
        <f t="shared" si="4"/>
        <v>#N/A</v>
      </c>
      <c r="AF26" s="61" t="e">
        <f t="shared" si="5"/>
        <v>#N/A</v>
      </c>
      <c r="AG26" s="113" t="e">
        <f t="shared" si="6"/>
        <v>#N/A</v>
      </c>
      <c r="AH26" s="61" t="e">
        <f>IF(A26=$AH$33,X26+0.1+AB26,IF(A26=$AH$34,X26+0.1+AB26,IF(A26=#REF!,X26+0.1+AB26,X26+AB26)))</f>
        <v>#N/A</v>
      </c>
      <c r="AI26" s="113" t="e">
        <f t="shared" si="7"/>
        <v>#N/A</v>
      </c>
      <c r="AJ26" s="61" t="e">
        <f t="shared" si="8"/>
        <v>#N/A</v>
      </c>
      <c r="AK26" s="113" t="e">
        <f t="shared" si="9"/>
        <v>#N/A</v>
      </c>
      <c r="AL26" s="113" t="e">
        <f t="shared" si="10"/>
        <v>#N/A</v>
      </c>
      <c r="AM26" s="61" t="e">
        <f t="shared" si="11"/>
        <v>#N/A</v>
      </c>
      <c r="AN26" s="113" t="e">
        <f t="shared" si="12"/>
        <v>#N/A</v>
      </c>
      <c r="AO26" s="63" t="e">
        <f t="shared" si="13"/>
        <v>#VALUE!</v>
      </c>
      <c r="AP26" s="113" t="e">
        <f t="shared" si="14"/>
        <v>#VALUE!</v>
      </c>
      <c r="AQ26" s="63" t="e">
        <f t="shared" si="15"/>
        <v>#VALUE!</v>
      </c>
      <c r="AR26" s="113" t="e">
        <f t="shared" si="16"/>
        <v>#VALUE!</v>
      </c>
      <c r="AS26" s="113" t="e">
        <f t="shared" si="17"/>
        <v>#VALUE!</v>
      </c>
      <c r="AT26" s="63" t="e">
        <f t="shared" si="18"/>
        <v>#VALUE!</v>
      </c>
      <c r="AU26" s="113" t="e">
        <f t="shared" si="19"/>
        <v>#VALUE!</v>
      </c>
      <c r="AV26" s="63" t="e">
        <f t="shared" si="20"/>
        <v>#VALUE!</v>
      </c>
      <c r="AW26" s="113" t="e">
        <f t="shared" si="21"/>
        <v>#VALUE!</v>
      </c>
      <c r="AY26" s="113" t="e">
        <f t="shared" si="22"/>
        <v>#VALUE!</v>
      </c>
    </row>
    <row r="27" spans="29:49" ht="15.75">
      <c r="AC27" s="112" t="e">
        <f>SUM(AC21:AC26)</f>
        <v>#VALUE!</v>
      </c>
      <c r="AD27" s="61">
        <f>IF(COUNTIF(AC21:AC26,1)=2,1,IF(COUNTIF(AC21:AC26,2)=2,2,IF(COUNTIF(AC21:AC26,3)=2,3,IF(COUNTIF(AC21:AC26,4)=2,4,5))))</f>
        <v>5</v>
      </c>
      <c r="AF27" s="61">
        <f>COUNTIF(AC21:AC26,1)</f>
        <v>0</v>
      </c>
      <c r="AG27" s="61" t="e">
        <f>MATCH(2,AF27:AF31,0)</f>
        <v>#N/A</v>
      </c>
      <c r="AH27" s="61" t="e">
        <f>MATCH(1,AC21:AC26,0)</f>
        <v>#N/A</v>
      </c>
      <c r="AI27" s="61" t="e">
        <f>IF(AH27=1,MATCH(1,AC22:AC26,0)+1,IF(AH27=2,MATCH(1,AC23:AC26,0)+2,IF(AH27=3,MATCH(1,AC24:AC26,0)+3,IF(AH27=4,MATCH(1,AC25:AC26,0)+4,6))))</f>
        <v>#N/A</v>
      </c>
      <c r="AJ27" s="61">
        <f>IF(COUNTIF(AC21:AC26,1)=3,1,IF(COUNTIF(AC21:AC26,2)=3,2,IF(COUNTIF(AC21:AC26,3)=3,3,IF(COUNTIF(AC21:AC26,4)=3,4,0))))</f>
        <v>0</v>
      </c>
      <c r="AM27" s="61">
        <f>IF(COUNTIF(AC21:AC26,1)=3,1,IF(COUNTIF(AC21:AC26,2)=3,2,IF(COUNTIF(AC21:AC26,3)=3,3,4)))</f>
        <v>4</v>
      </c>
      <c r="AN27" s="61">
        <f>IF(COUNTIF(AC21:AC26,1)=2,1,IF(COUNTIF(AC21:AC26,2)=2,2,IF(COUNTIF(AC21:AC26,3)=2,3,IF(COUNTIF(AC21:AC26,4)=2,4,5))))</f>
        <v>5</v>
      </c>
      <c r="AO27" s="61" t="e">
        <f>MATCH(1,AC21:AC26,0)</f>
        <v>#N/A</v>
      </c>
      <c r="AP27" s="61" t="e">
        <f>MATCH(4,AC21:AC26,0)</f>
        <v>#N/A</v>
      </c>
      <c r="AQ27" s="62">
        <f>IF(COUNTIF(AC21:AC26,1)=4,1,IF(COUNTIF(AC21:AC26,2)=4,2,IF(COUNTIF(AC21:AC26,3)=4,3,0)))</f>
        <v>0</v>
      </c>
      <c r="AT27" s="62">
        <f>IF(COUNTIF(AC21:AC26,1)=4,1,3)</f>
        <v>3</v>
      </c>
      <c r="AU27" s="62">
        <f>IF(COUNTIF(AC21:AC26,1)=2,1,5)</f>
        <v>5</v>
      </c>
      <c r="AV27" s="62">
        <f>IF(COUNTIF(AC21:AC26,1)=5,1,2)</f>
        <v>2</v>
      </c>
      <c r="AW27" s="61" t="e">
        <f>MATCH(AV27,AC21:AC26,0)</f>
        <v>#N/A</v>
      </c>
    </row>
    <row r="28" spans="30:49" ht="15.75">
      <c r="AD28" s="61" t="e">
        <f>MATCH(AD27,AC21:AC26,0)</f>
        <v>#N/A</v>
      </c>
      <c r="AF28" s="61">
        <f>COUNTIF(AC21:AC26,2)</f>
        <v>0</v>
      </c>
      <c r="AG28" s="61" t="e">
        <f>IF(AG27=1,MATCH(2,AF28:AF31,0)+1,IF(AG27=2,MATCH(2,AF29:AF31,0)+2,IF(AG27=3,MATCH(2,AF30:AF31,0)+3,5)))</f>
        <v>#N/A</v>
      </c>
      <c r="AH28" s="61" t="e">
        <f>MATCH(3,AC21:AC26,0)</f>
        <v>#N/A</v>
      </c>
      <c r="AI28" s="61" t="e">
        <f>IF(AH28=1,MATCH(3,AC22:AC26,0)+1,IF(AH28=2,MATCH(3,AC23:AC26,0)+2,IF(AH28=3,MATCH(3,AC24:AC26,0)+3,IF(AH28=4,MATCH(3,AC25:AC26,0)+4,6))))</f>
        <v>#N/A</v>
      </c>
      <c r="AJ28" s="61" t="e">
        <f>MATCH(AJ27,AC21:AC26,0)</f>
        <v>#N/A</v>
      </c>
      <c r="AM28" s="61" t="e">
        <f>MATCH(AM27,AC21:AC26,0)</f>
        <v>#N/A</v>
      </c>
      <c r="AN28" s="61" t="e">
        <f>MATCH(AN27,AC21:AC26,0)</f>
        <v>#N/A</v>
      </c>
      <c r="AO28" s="61" t="e">
        <f>IF(AO27=1,MATCH(1,AC22:AC26,0)+1,IF(AO27=2,MATCH(1,AC23:AC26,0)+2,IF(AO27=3,MATCH(1,AC24:AC26,0)+3,IF(AO27=4,MATCH(1,AC25:AC26,0)+4,6))))</f>
        <v>#N/A</v>
      </c>
      <c r="AP28" s="61" t="e">
        <f>IF(AP27=1,MATCH(4,AC22:AC26,0)+1,IF(AP27=2,MATCH(4,AC23:AC26,0)+2,IF(AP27=3,MATCH(4,AC24:AC26,0)+3,IF(AP27=4,MATCH(4,AC25:AC26,0)+4,6))))</f>
        <v>#N/A</v>
      </c>
      <c r="AQ28" s="61" t="e">
        <f>MATCH(AQ27,AC21:AC26,0)</f>
        <v>#N/A</v>
      </c>
      <c r="AT28" s="61" t="e">
        <f>MATCH(AT27,AC21:AC26,0)</f>
        <v>#N/A</v>
      </c>
      <c r="AU28" s="61" t="e">
        <f>MATCH(AU27,AC21:AC26,0)</f>
        <v>#N/A</v>
      </c>
      <c r="AV28" s="61" t="e">
        <f>IF(AW27=1,MATCH(AV27,AC22:AC26,0)+1,IF(AW27=2,MATCH(AV27,AC23:AC26,0)+2,IF(AW27=3,MATCH(AV27,AC24:AC26,0)+3,IF(AW27=4,MATCH(AV27,AC25:AC26,0)+4,6))))</f>
        <v>#N/A</v>
      </c>
      <c r="AW28" s="61" t="e">
        <f>IF(AV28=1,MATCH(AV27,AC22:AC26,0)+1,IF(AV28=2,MATCH(AV27,AC23:AC26,0)+2,IF(AV28=3,MATCH(AV27,AC24:AC26,0)+3,IF(AV28=4,MATCH(AV27,AC25:AC26,0)+4,6))))</f>
        <v>#N/A</v>
      </c>
    </row>
    <row r="29" spans="30:49" ht="15.75">
      <c r="AD29" s="61" t="e">
        <f>IF(AD28=1,MATCH(AD27,AC22:AC26,0)+1,IF(AD28=2,MATCH(AD27,AC23:AC26,0)+2,IF(AD28=3,MATCH(AD27,AC24:AC26,0)+3,IF(AD28=4,MATCH(AD27,AC25:AC26,0)+4,6))))</f>
        <v>#N/A</v>
      </c>
      <c r="AF29" s="61">
        <f>COUNTIF(AC21:AC26,3)</f>
        <v>0</v>
      </c>
      <c r="AH29" s="61" t="e">
        <f>MATCH(5,AC21:AC26,0)</f>
        <v>#N/A</v>
      </c>
      <c r="AI29" s="61" t="e">
        <f>IF(AH29=1,MATCH(5,AC22:AC26,0)+1,IF(AH29=2,MATCH(5,AC23:AC26,0)+2,IF(AH29=3,MATCH(5,AC24:AC26,0)+3,IF(AH29=4,MATCH(5,AC25:AC26,0)+4,6))))</f>
        <v>#N/A</v>
      </c>
      <c r="AJ29" s="61" t="e">
        <f>IF(AJ28=1,MATCH(AJ27,AC22:AC26,0)+1,IF(AJ28=2,MATCH(AJ27,AC23:AC26,0)+2,IF(AJ28=3,MATCH(AJ27,AC24:AC26,0)+3,IF(AJ28=4,MATCH(AJ27,AC25:AC26,0)+4,6))))</f>
        <v>#N/A</v>
      </c>
      <c r="AM29" s="61" t="e">
        <f>IF(AM28=1,MATCH(AM27,AC22:AC26,0)+1,IF(AM28=2,MATCH(AM27,AC23:AC26,0)+2,IF(AM28=3,MATCH(AM27,AC24:AC26,0)+3,IF(AM28=4,MATCH(AM27,AC25:AC26,0)+4,6))))</f>
        <v>#N/A</v>
      </c>
      <c r="AN29" s="61" t="e">
        <f>IF(AN28=1,MATCH(AN27,AC22:AC26,0)+1,IF(AN28=2,MATCH(AN27,AC23:AC26,0)+2,IF(AN28=3,MATCH(AN27,AC24:AC26,0)+3,IF(AN28=4,MATCH(AN27,AC25:AC26,0)+4,6))))</f>
        <v>#N/A</v>
      </c>
      <c r="AO29" s="61" t="e">
        <f>IF(AO28=1,MATCH(1,AC22:AC26,0)+1,IF(AO28=2,MATCH(1,AC23:AC26,0)+2,IF(AO28=3,MATCH(1,AC24:AC26,0)+3,IF(AO28=4,MATCH(1,AC25:AC26,0)+4,6))))</f>
        <v>#N/A</v>
      </c>
      <c r="AP29" s="61" t="e">
        <f>IF(AP28=1,MATCH(4,AC22:AC26,0)+1,IF(AP28=2,MATCH(4,AC23:AC26,0)+2,IF(AP28=3,MATCH(4,AC24:AC26,0)+3,IF(AP28=4,MATCH(4,AC25:AC26,0)+4,6))))</f>
        <v>#N/A</v>
      </c>
      <c r="AQ29" s="61" t="e">
        <f>IF(AQ28=1,MATCH(AQ27,AC22:AC26,0)+1,IF(AQ28=2,MATCH(AQ27,AC23:AC26,0)+2,IF(AQ28=3,MATCH(AQ27,AC24:AC26,0)+3,IF(AQ28=4,MATCH(AQ27,AC25:AC26,0)+4,6))))</f>
        <v>#N/A</v>
      </c>
      <c r="AT29" s="61" t="e">
        <f>IF(AT28=1,MATCH(AT27,AC22:AC26,0)+1,IF(AT28=2,MATCH(AT27,AC23:AC26,0)+2,IF(AT28=3,MATCH(AT27,AC24:AC26,0)+3,IF(AT28=4,MATCH(AT27,AC25:AC26,0)+4,6))))</f>
        <v>#N/A</v>
      </c>
      <c r="AU29" s="61" t="e">
        <f>IF(AU28=1,MATCH(AU27,AC22:AC26,0)+1,IF(AU28=2,MATCH(AU27,AC23:AC26,0)+2,IF(AU28=3,MATCH(AU27,AC24:AC26,0)+3,IF(AU28=4,MATCH(AU27,AC25:AC26,0)+4,6))))</f>
        <v>#N/A</v>
      </c>
      <c r="AV29" s="61" t="e">
        <f>IF(AW28=1,MATCH(AV27,AC22:AC26,0)+1,IF(AW28=2,MATCH(AV27,AC23:AC26,0)+2,IF(AW28=3,MATCH(AV27,AC24:AC26,0)+3,IF(AW28=4,MATCH(AV27,AC25:AC26,0)+4,6))))</f>
        <v>#N/A</v>
      </c>
      <c r="AW29" s="61" t="e">
        <f>IF(AV29=1,MATCH(AV27,AC22:AC26,0)+1,IF(AV29=2,MATCH(AV27,AC23:AC26,0)+2,IF(AV29=3,MATCH(AV27,AC24:AC26,0)+3,IF(AV29=4,MATCH(AV27,AC25:AC26,0)+4,6))))</f>
        <v>#N/A</v>
      </c>
    </row>
    <row r="30" spans="30:49" ht="15.75">
      <c r="AD30" s="61" t="e">
        <f>10*AD28+AD29</f>
        <v>#N/A</v>
      </c>
      <c r="AF30" s="61">
        <f>COUNTIF(AC21:AC26,4)</f>
        <v>0</v>
      </c>
      <c r="AH30" s="61" t="e">
        <f>10*AH27+AI27</f>
        <v>#N/A</v>
      </c>
      <c r="AI30" s="61" t="e">
        <f>MATCH(AH30,X4:X18,0)</f>
        <v>#N/A</v>
      </c>
      <c r="AJ30" s="61" t="e">
        <f>IF(AJ29=1,MATCH(AJ27,AC22:AC26,0)+1,IF(AJ29=2,MATCH(AJ27,AC23:AC26,0)+2,IF(AJ29=3,MATCH(AJ27,AC24:AC26,0)+3,IF(AJ29=4,MATCH(AJ27,AC25:AC26,0)+4,6))))</f>
        <v>#N/A</v>
      </c>
      <c r="AM30" s="61" t="e">
        <f>IF(AM29=1,MATCH(AM27,AC22:AC26,0)+1,IF(AM29=2,MATCH(AM27,AC23:AC26,0)+2,IF(AM29=3,MATCH(AM27,AC24:AC26,0)+3,IF(AM29=4,MATCH(AM27,AC25:AC26,0)+4,6))))</f>
        <v>#N/A</v>
      </c>
      <c r="AO30" s="61" t="e">
        <f>10*AO27+AO28</f>
        <v>#N/A</v>
      </c>
      <c r="AP30" s="61" t="e">
        <f>MATCH(AO30,X4:X18,0)</f>
        <v>#N/A</v>
      </c>
      <c r="AQ30" s="61" t="e">
        <f>IF(AQ29=1,MATCH(AQ27,AC22:AC26,0)+1,IF(AQ29=2,MATCH(AQ27,AC23:AC26,0)+2,IF(AQ29=3,MATCH(AQ27,AC24:AC26,0)+3,IF(AQ29=4,MATCH(AQ27,AC25:AC26,0)+4,6))))</f>
        <v>#N/A</v>
      </c>
      <c r="AT30" s="61" t="e">
        <f>IF(AT29=1,MATCH(AT27,AC22:AC26,0)+1,IF(AT29=2,MATCH(AT27,AC23:AC26,0)+2,IF(AT29=3,MATCH(AT27,AC24:AC26,0)+3,IF(AT29=4,MATCH(AT27,AC25:AC26,0)+4,6))))</f>
        <v>#N/A</v>
      </c>
      <c r="AU30" s="62" t="e">
        <f>MATCH(10*AU28+AU29,X4:X18,0)</f>
        <v>#N/A</v>
      </c>
      <c r="AV30" s="61" t="e">
        <f>10*AW27+AV28</f>
        <v>#N/A</v>
      </c>
      <c r="AW30" s="61" t="e">
        <f aca="true" t="shared" si="23" ref="AW30:AW39">MATCH(AV30,$X$4:$X$18,0)</f>
        <v>#N/A</v>
      </c>
    </row>
    <row r="31" spans="30:49" ht="15.75">
      <c r="AD31" s="61" t="e">
        <f>MATCH(AD30,X4:X18,0)</f>
        <v>#N/A</v>
      </c>
      <c r="AF31" s="61">
        <f>COUNTIF(AC21:AC26,5)</f>
        <v>0</v>
      </c>
      <c r="AH31" s="61" t="e">
        <f>10*AH28+AI28</f>
        <v>#N/A</v>
      </c>
      <c r="AI31" s="61" t="e">
        <f>MATCH(AH31,X4:X18,0)</f>
        <v>#N/A</v>
      </c>
      <c r="AJ31" s="61" t="e">
        <f>10*AJ28+AJ29</f>
        <v>#N/A</v>
      </c>
      <c r="AK31" s="61" t="e">
        <f>MATCH(AJ31,X4:X18,0)</f>
        <v>#N/A</v>
      </c>
      <c r="AM31" s="61" t="e">
        <f>10*AM28+AM29</f>
        <v>#N/A</v>
      </c>
      <c r="AN31" s="61" t="e">
        <f>MATCH(AM31,X4:X18,0)</f>
        <v>#N/A</v>
      </c>
      <c r="AO31" s="61" t="e">
        <f>10*AO27+AO29</f>
        <v>#N/A</v>
      </c>
      <c r="AP31" s="61" t="e">
        <f>MATCH(AO31,X4:X18,0)</f>
        <v>#N/A</v>
      </c>
      <c r="AQ31" s="61" t="e">
        <f>IF(AQ30=1,MATCH(AQ27,AC22:AC26,0)+1,IF(AQ30=2,MATCH(AQ27,AC23:AC26,0)+2,IF(AQ30=3,MATCH(AQ27,AC24:AC26,0)+3,IF(AQ30=4,MATCH(AQ27,AC25:AC26,0)+4,6))))</f>
        <v>#N/A</v>
      </c>
      <c r="AT31" s="61" t="e">
        <f>IF(AT30=1,MATCH(AT27,AC22:AC26,0)+1,IF(AT30=2,MATCH(AT27,AC23:AC26,0)+2,IF(AT30=3,MATCH(AT27,AC24:AC26,0)+3,IF(AT30=4,MATCH(AT27,AC25:AC26,0)+4,6))))</f>
        <v>#N/A</v>
      </c>
      <c r="AU31" s="61" t="e">
        <f>IF(INDEX(U4:U18,AU30)=INDEX(W4:W18,AU30),0,IF(INDEX(U4:U18,AU30)&gt;INDEX(W4:W18,AU30),AU28,AU29))</f>
        <v>#N/A</v>
      </c>
      <c r="AV31" s="61" t="e">
        <f>10*AW27+AW28</f>
        <v>#N/A</v>
      </c>
      <c r="AW31" s="61" t="e">
        <f t="shared" si="23"/>
        <v>#N/A</v>
      </c>
    </row>
    <row r="32" spans="30:49" ht="15.75">
      <c r="AD32" s="61" t="e">
        <f>IF(INDEX(U4:U18,AD31)=INDEX(W4:W18,AD31),0,IF(INDEX(U4:U18,AD31)&gt;INDEX(W4:W18,AD31),AD28,AD29))</f>
        <v>#N/A</v>
      </c>
      <c r="AF32" s="61" t="e">
        <f>MATCH(AG27,AC21:AC26,0)</f>
        <v>#N/A</v>
      </c>
      <c r="AG32" s="61" t="e">
        <f>MATCH(AG28,AC21:AC26,0)</f>
        <v>#N/A</v>
      </c>
      <c r="AH32" s="61" t="e">
        <f>10*AH29+AI29</f>
        <v>#N/A</v>
      </c>
      <c r="AI32" s="61" t="e">
        <f>MATCH(AH32,X4:X18,0)</f>
        <v>#N/A</v>
      </c>
      <c r="AJ32" s="61" t="e">
        <f>10*AJ28+AJ30</f>
        <v>#N/A</v>
      </c>
      <c r="AK32" s="61" t="e">
        <f>MATCH(AJ32,X4:X18,0)</f>
        <v>#N/A</v>
      </c>
      <c r="AM32" s="61" t="e">
        <f>10*AM28+AM30</f>
        <v>#N/A</v>
      </c>
      <c r="AN32" s="61" t="e">
        <f>MATCH(AM32,X4:X18,0)</f>
        <v>#N/A</v>
      </c>
      <c r="AO32" s="61" t="e">
        <f>10*AO28+AO29</f>
        <v>#N/A</v>
      </c>
      <c r="AP32" s="61" t="e">
        <f>MATCH(AO32,X4:X18,0)</f>
        <v>#N/A</v>
      </c>
      <c r="AQ32" s="61" t="e">
        <f>10*AQ28+AQ29</f>
        <v>#N/A</v>
      </c>
      <c r="AR32" s="61" t="e">
        <f aca="true" t="shared" si="24" ref="AR32:AR37">MATCH(AQ32,$X$4:$X$18,0)</f>
        <v>#N/A</v>
      </c>
      <c r="AT32" s="61" t="e">
        <f>10*AT28+AT29</f>
        <v>#N/A</v>
      </c>
      <c r="AU32" s="61" t="e">
        <f aca="true" t="shared" si="25" ref="AU32:AU37">MATCH(AT32,$X$4:$X$18,0)</f>
        <v>#N/A</v>
      </c>
      <c r="AV32" s="61" t="e">
        <f>10*AW27+AV29</f>
        <v>#N/A</v>
      </c>
      <c r="AW32" s="61" t="e">
        <f t="shared" si="23"/>
        <v>#N/A</v>
      </c>
    </row>
    <row r="33" spans="32:49" ht="15.75">
      <c r="AF33" s="61" t="e">
        <f>IF(AF32=1,MATCH(AG27,AC22:AC26,0)+1,IF(AF32=2,MATCH(AG27,AC23:AC26,0)+2,IF(AF32=3,MATCH(AG27,AC24:AC26,0)+3,IF(AF32=4,MATCH(AG27,AC25:AC26,0)+4,6))))</f>
        <v>#N/A</v>
      </c>
      <c r="AG33" s="61" t="e">
        <f>IF(AG32=1,MATCH(AG28,AC22:AC26,0)+1,IF(AG32=2,MATCH(AG28,AC23:AC26,0)+2,IF(AG32=3,MATCH(AG28,AC24:AC26,0)+3,IF(AG32=4,MATCH(AG28,AC25:AC26,0)+4,6))))</f>
        <v>#N/A</v>
      </c>
      <c r="AH33" s="61" t="e">
        <f>IF(INDEX(U4:U18,AI30)=INDEX(W4:W18,AI30),0,IF(INDEX(U4:U18,AI30)&gt;INDEX(W4:W18,AI30),AH27,AI27))</f>
        <v>#N/A</v>
      </c>
      <c r="AJ33" s="61" t="e">
        <f>10*AJ29+AJ30</f>
        <v>#N/A</v>
      </c>
      <c r="AK33" s="61" t="e">
        <f>MATCH(AJ33,X4:X18,0)</f>
        <v>#N/A</v>
      </c>
      <c r="AM33" s="61" t="e">
        <f>10*AM29+AM30</f>
        <v>#N/A</v>
      </c>
      <c r="AN33" s="61" t="e">
        <f>MATCH(AM33,X4:X18,0)</f>
        <v>#N/A</v>
      </c>
      <c r="AO33" s="61" t="e">
        <f>10*AP27+AP28</f>
        <v>#N/A</v>
      </c>
      <c r="AP33" s="61" t="e">
        <f>MATCH(AO33,X4:X18,0)</f>
        <v>#N/A</v>
      </c>
      <c r="AQ33" s="61" t="e">
        <f>10*AQ28+AQ30</f>
        <v>#N/A</v>
      </c>
      <c r="AR33" s="61" t="e">
        <f t="shared" si="24"/>
        <v>#N/A</v>
      </c>
      <c r="AT33" s="61" t="e">
        <f>10*AT28+AT30</f>
        <v>#N/A</v>
      </c>
      <c r="AU33" s="61" t="e">
        <f t="shared" si="25"/>
        <v>#N/A</v>
      </c>
      <c r="AV33" s="61" t="e">
        <f>10*AW27+AW29</f>
        <v>#N/A</v>
      </c>
      <c r="AW33" s="61" t="e">
        <f t="shared" si="23"/>
        <v>#N/A</v>
      </c>
    </row>
    <row r="34" spans="32:49" ht="15.75">
      <c r="AF34" s="61" t="e">
        <f>10*AF32+AF33</f>
        <v>#N/A</v>
      </c>
      <c r="AG34" s="61" t="e">
        <f>10*AG32+AG33</f>
        <v>#N/A</v>
      </c>
      <c r="AH34" s="61" t="e">
        <f>IF(INDEX(U4:U18,AI31)=INDEX(W4:W18,AI31),0,IF(INDEX(U4:U18,AI31)&gt;INDEX(W4:W18,AI31),AH28,AI28))</f>
        <v>#N/A</v>
      </c>
      <c r="AM34" s="61" t="e">
        <f>10*AN28+AN29</f>
        <v>#N/A</v>
      </c>
      <c r="AN34" s="61" t="e">
        <f>MATCH(AM34,X4:X18,0)</f>
        <v>#N/A</v>
      </c>
      <c r="AO34" s="61" t="e">
        <f>10*AP27+AP29</f>
        <v>#N/A</v>
      </c>
      <c r="AP34" s="61" t="e">
        <f>MATCH(AO34,X4:X18,0)</f>
        <v>#N/A</v>
      </c>
      <c r="AQ34" s="61" t="e">
        <f>10*AQ28+AQ31</f>
        <v>#N/A</v>
      </c>
      <c r="AR34" s="61" t="e">
        <f t="shared" si="24"/>
        <v>#N/A</v>
      </c>
      <c r="AT34" s="61" t="e">
        <f>10*AT28+AT31</f>
        <v>#N/A</v>
      </c>
      <c r="AU34" s="61" t="e">
        <f t="shared" si="25"/>
        <v>#N/A</v>
      </c>
      <c r="AV34" s="61" t="e">
        <f>10*AV28+AW28</f>
        <v>#N/A</v>
      </c>
      <c r="AW34" s="61" t="e">
        <f t="shared" si="23"/>
        <v>#N/A</v>
      </c>
    </row>
    <row r="35" spans="1:49" s="6" customFormat="1" ht="30" customHeight="1" hidden="1">
      <c r="A35" s="3"/>
      <c r="B35" s="45" t="s">
        <v>60</v>
      </c>
      <c r="C35" s="203" t="e">
        <f>INDEX(F4:F9,AJ28)</f>
        <v>#N/A</v>
      </c>
      <c r="D35" s="203"/>
      <c r="E35" s="203"/>
      <c r="F35" s="203" t="e">
        <f>INDEX(F4:F9,AJ29)</f>
        <v>#N/A</v>
      </c>
      <c r="G35" s="203"/>
      <c r="H35" s="203"/>
      <c r="I35" s="203" t="e">
        <f>INDEX(F4:F9,AJ30)</f>
        <v>#N/A</v>
      </c>
      <c r="J35" s="203"/>
      <c r="K35" s="203"/>
      <c r="L35" s="212" t="s">
        <v>1</v>
      </c>
      <c r="M35" s="212"/>
      <c r="N35" s="212"/>
      <c r="O35" s="4" t="s">
        <v>2</v>
      </c>
      <c r="P35" s="212" t="s">
        <v>3</v>
      </c>
      <c r="Q35" s="228"/>
      <c r="R35" s="133"/>
      <c r="S35" s="133"/>
      <c r="T35" s="133"/>
      <c r="U35" s="3"/>
      <c r="V35" s="3"/>
      <c r="W35" s="3"/>
      <c r="X35" s="3"/>
      <c r="Y35" s="3"/>
      <c r="Z35" s="61"/>
      <c r="AA35" s="61"/>
      <c r="AB35" s="61"/>
      <c r="AC35" s="61"/>
      <c r="AD35" s="61"/>
      <c r="AE35" s="61"/>
      <c r="AF35" s="61" t="e">
        <f>MATCH(AF34,X4:X18,0)</f>
        <v>#N/A</v>
      </c>
      <c r="AG35" s="61" t="e">
        <f>MATCH(AG34,X4:X18,0)</f>
        <v>#N/A</v>
      </c>
      <c r="AH35" s="61" t="e">
        <f>IF(INDEX(U4:U18,AI32)=INDEX(W4:W18,AI32),0,IF(INDEX(U4:U18,AI32)&gt;INDEX(W4:W18,AI32),AH29,AI29))</f>
        <v>#N/A</v>
      </c>
      <c r="AN35" s="61" t="e">
        <f>IF(INDEX(U4:U18,AN34)=INDEX(W4:W18,AN34),0,IF(INDEX(U4:U18,AN34)&gt;INDEX(W4:W18,AN34),AN28,AN29))</f>
        <v>#N/A</v>
      </c>
      <c r="AO35" s="61" t="e">
        <f>10*AP28+AP29</f>
        <v>#N/A</v>
      </c>
      <c r="AP35" s="61" t="e">
        <f>MATCH(AO35,X4:X18,0)</f>
        <v>#N/A</v>
      </c>
      <c r="AQ35" s="61" t="e">
        <f>10*AQ29+AQ30</f>
        <v>#N/A</v>
      </c>
      <c r="AR35" s="61" t="e">
        <f t="shared" si="24"/>
        <v>#N/A</v>
      </c>
      <c r="AS35" s="61"/>
      <c r="AT35" s="61" t="e">
        <f>10*AT29+AT30</f>
        <v>#N/A</v>
      </c>
      <c r="AU35" s="61" t="e">
        <f t="shared" si="25"/>
        <v>#N/A</v>
      </c>
      <c r="AV35" s="61" t="e">
        <f>10*AV28+AV29</f>
        <v>#N/A</v>
      </c>
      <c r="AW35" s="61" t="e">
        <f t="shared" si="23"/>
        <v>#N/A</v>
      </c>
    </row>
    <row r="36" spans="1:49" s="6" customFormat="1" ht="30" customHeight="1" hidden="1">
      <c r="A36" s="3"/>
      <c r="B36" s="58" t="e">
        <f>C35</f>
        <v>#N/A</v>
      </c>
      <c r="C36" s="127" t="e">
        <f>IF(F36&gt;H36,H12,IF(F36=H36,H13,H14))</f>
        <v>#N/A</v>
      </c>
      <c r="D36" s="128" t="e">
        <f>IF(I36&gt;K36,H12,IF(I36=K36,H13,H14))</f>
        <v>#N/A</v>
      </c>
      <c r="E36" s="105" t="e">
        <f>0.001*(L36-N36)+0.00001*L36+0.00001*INDEX(AB21:AB26,AJ28)</f>
        <v>#N/A</v>
      </c>
      <c r="F36" s="10" t="e">
        <f>INDEX(U4:U18,AK31)</f>
        <v>#N/A</v>
      </c>
      <c r="G36" s="11" t="s">
        <v>0</v>
      </c>
      <c r="H36" s="12" t="e">
        <f>INDEX(W4:W18,AK31)</f>
        <v>#N/A</v>
      </c>
      <c r="I36" s="10" t="e">
        <f>INDEX(U4:U18,AK32)</f>
        <v>#N/A</v>
      </c>
      <c r="J36" s="11" t="s">
        <v>0</v>
      </c>
      <c r="K36" s="12" t="e">
        <f>INDEX(W4:W18,AK32)</f>
        <v>#N/A</v>
      </c>
      <c r="L36" s="13" t="e">
        <f>F36+I36</f>
        <v>#N/A</v>
      </c>
      <c r="M36" s="14" t="s">
        <v>0</v>
      </c>
      <c r="N36" s="15" t="e">
        <f>H36+K36</f>
        <v>#N/A</v>
      </c>
      <c r="O36" s="16" t="e">
        <f>SUM(C36:E36)</f>
        <v>#N/A</v>
      </c>
      <c r="P36" s="240" t="e">
        <f>RANK(O36,$O$36:$O$38)</f>
        <v>#N/A</v>
      </c>
      <c r="Q36" s="241"/>
      <c r="R36" s="135"/>
      <c r="S36" s="136"/>
      <c r="T36" s="136"/>
      <c r="U36" s="144"/>
      <c r="V36" s="3"/>
      <c r="W36" s="3"/>
      <c r="X36" s="3"/>
      <c r="Y36" s="3"/>
      <c r="Z36" s="61"/>
      <c r="AA36" s="61"/>
      <c r="AB36" s="61"/>
      <c r="AC36" s="61"/>
      <c r="AD36" s="61"/>
      <c r="AE36" s="61"/>
      <c r="AF36" s="61" t="e">
        <f>IF(INDEX(U4:U18,AF35)=INDEX(W4:W18,AF35),0,IF(INDEX(U4:U18,AF35)&gt;INDEX(W4:W18,AF35),AF32,AF33))</f>
        <v>#N/A</v>
      </c>
      <c r="AG36" s="61" t="e">
        <f>IF(INDEX(U4:U18,AG35)=INDEX(W4:W18,AG35),0,IF(INDEX(U4:U18,AG35)&gt;INDEX(W4:W18,AG35),AG32,AG33))</f>
        <v>#N/A</v>
      </c>
      <c r="AH36" s="61"/>
      <c r="AQ36" s="61" t="e">
        <f>10*AQ29+AQ31</f>
        <v>#N/A</v>
      </c>
      <c r="AR36" s="61" t="e">
        <f t="shared" si="24"/>
        <v>#N/A</v>
      </c>
      <c r="AS36" s="61"/>
      <c r="AT36" s="61" t="e">
        <f>10*AT29+AT31</f>
        <v>#N/A</v>
      </c>
      <c r="AU36" s="61" t="e">
        <f t="shared" si="25"/>
        <v>#N/A</v>
      </c>
      <c r="AV36" s="61" t="e">
        <f>10*AV28+AW29</f>
        <v>#N/A</v>
      </c>
      <c r="AW36" s="61" t="e">
        <f t="shared" si="23"/>
        <v>#N/A</v>
      </c>
    </row>
    <row r="37" spans="1:49" s="6" customFormat="1" ht="30" customHeight="1" hidden="1">
      <c r="A37" s="3"/>
      <c r="B37" s="58" t="e">
        <f>F35</f>
        <v>#N/A</v>
      </c>
      <c r="C37" s="10" t="e">
        <f>H36</f>
        <v>#N/A</v>
      </c>
      <c r="D37" s="11" t="s">
        <v>0</v>
      </c>
      <c r="E37" s="12" t="e">
        <f>F36</f>
        <v>#N/A</v>
      </c>
      <c r="F37" s="127" t="e">
        <f>IF(C37&gt;E37,H12,IF(C37=E37,H13,H14))</f>
        <v>#N/A</v>
      </c>
      <c r="G37" s="128" t="e">
        <f>IF(I37&gt;K37,H12,IF(I37=K37,H13,H14))</f>
        <v>#N/A</v>
      </c>
      <c r="H37" s="105" t="e">
        <f>0.001*(L37-N37)+0.00001*L37+0.00001*INDEX(AB21:AB26,AJ29)</f>
        <v>#N/A</v>
      </c>
      <c r="I37" s="10" t="e">
        <f>INDEX(U4:U18,AK33)</f>
        <v>#N/A</v>
      </c>
      <c r="J37" s="11" t="s">
        <v>0</v>
      </c>
      <c r="K37" s="12" t="e">
        <f>INDEX(W4:W18,AK33)</f>
        <v>#N/A</v>
      </c>
      <c r="L37" s="13" t="e">
        <f>C37+I37</f>
        <v>#N/A</v>
      </c>
      <c r="M37" s="14" t="s">
        <v>0</v>
      </c>
      <c r="N37" s="15" t="e">
        <f>E37+K37</f>
        <v>#N/A</v>
      </c>
      <c r="O37" s="16" t="e">
        <f>SUM(F37:H37)</f>
        <v>#N/A</v>
      </c>
      <c r="P37" s="240" t="e">
        <f>RANK(O37,$O$36:$O$38)</f>
        <v>#N/A</v>
      </c>
      <c r="Q37" s="241"/>
      <c r="R37" s="135"/>
      <c r="S37" s="136"/>
      <c r="T37" s="136"/>
      <c r="U37" s="144"/>
      <c r="V37" s="3"/>
      <c r="W37" s="3"/>
      <c r="X37" s="3"/>
      <c r="Y37" s="3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 t="e">
        <f>10*AQ30+AQ31</f>
        <v>#N/A</v>
      </c>
      <c r="AR37" s="61" t="e">
        <f t="shared" si="24"/>
        <v>#N/A</v>
      </c>
      <c r="AS37" s="61"/>
      <c r="AT37" s="61" t="e">
        <f>10*AT30+AT31</f>
        <v>#N/A</v>
      </c>
      <c r="AU37" s="61" t="e">
        <f t="shared" si="25"/>
        <v>#N/A</v>
      </c>
      <c r="AV37" s="61" t="e">
        <f>10*AW28+AV29</f>
        <v>#N/A</v>
      </c>
      <c r="AW37" s="61" t="e">
        <f t="shared" si="23"/>
        <v>#N/A</v>
      </c>
    </row>
    <row r="38" spans="1:49" s="6" customFormat="1" ht="30" customHeight="1" hidden="1" thickBot="1">
      <c r="A38" s="3"/>
      <c r="B38" s="60" t="e">
        <f>I35</f>
        <v>#N/A</v>
      </c>
      <c r="C38" s="18" t="e">
        <f>K36</f>
        <v>#N/A</v>
      </c>
      <c r="D38" s="19" t="s">
        <v>0</v>
      </c>
      <c r="E38" s="20" t="e">
        <f>I36</f>
        <v>#N/A</v>
      </c>
      <c r="F38" s="18" t="e">
        <f>K37</f>
        <v>#N/A</v>
      </c>
      <c r="G38" s="19" t="s">
        <v>0</v>
      </c>
      <c r="H38" s="20" t="e">
        <f>I37</f>
        <v>#N/A</v>
      </c>
      <c r="I38" s="134" t="e">
        <f>IF(C38&gt;E38,H12,IF(C38=E38,H13,H14))</f>
        <v>#N/A</v>
      </c>
      <c r="J38" s="134" t="e">
        <f>IF(F38&gt;H38,H12,IF(F38=H38,H13,H14))</f>
        <v>#N/A</v>
      </c>
      <c r="K38" s="111" t="e">
        <f>0.001*(L38-N38)+0.00001*L38+0.00001*INDEX(AB21:AB26,AJ30)</f>
        <v>#N/A</v>
      </c>
      <c r="L38" s="24" t="e">
        <f>C38+F38</f>
        <v>#N/A</v>
      </c>
      <c r="M38" s="25" t="s">
        <v>0</v>
      </c>
      <c r="N38" s="26" t="e">
        <f>E38+H38</f>
        <v>#N/A</v>
      </c>
      <c r="O38" s="27" t="e">
        <f>SUM(I38:K38)</f>
        <v>#N/A</v>
      </c>
      <c r="P38" s="242" t="e">
        <f>RANK(O38,$O$36:$O$38)</f>
        <v>#N/A</v>
      </c>
      <c r="Q38" s="243"/>
      <c r="R38" s="135"/>
      <c r="S38" s="136"/>
      <c r="T38" s="136"/>
      <c r="U38" s="144"/>
      <c r="V38" s="3"/>
      <c r="W38" s="3"/>
      <c r="X38" s="3"/>
      <c r="Y38" s="3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 t="e">
        <f>10*AW28+AW29</f>
        <v>#N/A</v>
      </c>
      <c r="AW38" s="61" t="e">
        <f t="shared" si="23"/>
        <v>#N/A</v>
      </c>
    </row>
    <row r="39" spans="48:49" ht="16.5" hidden="1" thickBot="1">
      <c r="AV39" s="61" t="e">
        <f>10*AV29+AW29</f>
        <v>#N/A</v>
      </c>
      <c r="AW39" s="61" t="e">
        <f t="shared" si="23"/>
        <v>#N/A</v>
      </c>
    </row>
    <row r="40" spans="1:47" s="6" customFormat="1" ht="30" customHeight="1" hidden="1">
      <c r="A40" s="3"/>
      <c r="B40" s="45" t="s">
        <v>64</v>
      </c>
      <c r="C40" s="203" t="e">
        <f>INDEX(F4:F9,AP27)</f>
        <v>#N/A</v>
      </c>
      <c r="D40" s="203"/>
      <c r="E40" s="203"/>
      <c r="F40" s="203" t="e">
        <f>INDEX(F4:F9,AP28)</f>
        <v>#N/A</v>
      </c>
      <c r="G40" s="203"/>
      <c r="H40" s="203"/>
      <c r="I40" s="203" t="e">
        <f>INDEX(F4:F9,AP29)</f>
        <v>#N/A</v>
      </c>
      <c r="J40" s="203"/>
      <c r="K40" s="203"/>
      <c r="L40" s="212" t="s">
        <v>1</v>
      </c>
      <c r="M40" s="212"/>
      <c r="N40" s="212"/>
      <c r="O40" s="4" t="s">
        <v>2</v>
      </c>
      <c r="P40" s="212" t="s">
        <v>3</v>
      </c>
      <c r="Q40" s="228"/>
      <c r="R40" s="133"/>
      <c r="S40" s="133"/>
      <c r="T40" s="133"/>
      <c r="U40" s="3"/>
      <c r="V40" s="3"/>
      <c r="W40" s="3"/>
      <c r="X40" s="3"/>
      <c r="Y40" s="3"/>
      <c r="Z40" s="61"/>
      <c r="AA40" s="61"/>
      <c r="AB40" s="61"/>
      <c r="AC40" s="61"/>
      <c r="AD40" s="61"/>
      <c r="AE40" s="61"/>
      <c r="AF40" s="61"/>
      <c r="AG40" s="61"/>
      <c r="AH40" s="61"/>
      <c r="AN40" s="61"/>
      <c r="AQ40" s="61"/>
      <c r="AR40" s="61"/>
      <c r="AS40" s="61"/>
      <c r="AT40" s="61"/>
      <c r="AU40" s="61"/>
    </row>
    <row r="41" spans="1:47" s="6" customFormat="1" ht="30" customHeight="1" hidden="1">
      <c r="A41" s="3"/>
      <c r="B41" s="58" t="e">
        <f>C40</f>
        <v>#N/A</v>
      </c>
      <c r="C41" s="127" t="e">
        <f>IF(F41&gt;H41,H12,IF(F41=H41,H13,H14))</f>
        <v>#N/A</v>
      </c>
      <c r="D41" s="128" t="e">
        <f>IF(I41&gt;K41,H12,IF(I41=K41,H13,H14))</f>
        <v>#N/A</v>
      </c>
      <c r="E41" s="105" t="e">
        <f>0.001*(L41-N41)+0.00001*L41+0.00001*INDEX(AB21:AB26,AP27)</f>
        <v>#N/A</v>
      </c>
      <c r="F41" s="10" t="e">
        <f>INDEX(U4:U18,AP33)</f>
        <v>#N/A</v>
      </c>
      <c r="G41" s="11" t="s">
        <v>0</v>
      </c>
      <c r="H41" s="12" t="e">
        <f>INDEX(W4:W18,AP33)</f>
        <v>#N/A</v>
      </c>
      <c r="I41" s="10" t="e">
        <f>INDEX(U4:U18,AP34)</f>
        <v>#N/A</v>
      </c>
      <c r="J41" s="11" t="s">
        <v>0</v>
      </c>
      <c r="K41" s="12" t="e">
        <f>INDEX(W4:W18,AP34)</f>
        <v>#N/A</v>
      </c>
      <c r="L41" s="13" t="e">
        <f>F41+I41</f>
        <v>#N/A</v>
      </c>
      <c r="M41" s="14" t="s">
        <v>0</v>
      </c>
      <c r="N41" s="15" t="e">
        <f>H41+K41</f>
        <v>#N/A</v>
      </c>
      <c r="O41" s="16" t="e">
        <f>SUM(C41:E41)</f>
        <v>#N/A</v>
      </c>
      <c r="P41" s="240" t="e">
        <f>RANK(O41,$O$41:$O$43)</f>
        <v>#N/A</v>
      </c>
      <c r="Q41" s="241"/>
      <c r="R41" s="135"/>
      <c r="S41" s="136"/>
      <c r="T41" s="136"/>
      <c r="U41" s="144"/>
      <c r="V41" s="3"/>
      <c r="W41" s="3"/>
      <c r="X41" s="3"/>
      <c r="Y41" s="3"/>
      <c r="Z41" s="61"/>
      <c r="AA41" s="61"/>
      <c r="AB41" s="61"/>
      <c r="AC41" s="61"/>
      <c r="AD41" s="61"/>
      <c r="AE41" s="61"/>
      <c r="AF41" s="61"/>
      <c r="AG41" s="61"/>
      <c r="AH41" s="61"/>
      <c r="AQ41" s="61"/>
      <c r="AR41" s="61"/>
      <c r="AS41" s="61"/>
      <c r="AT41" s="61"/>
      <c r="AU41" s="61"/>
    </row>
    <row r="42" spans="1:47" s="6" customFormat="1" ht="30" customHeight="1" hidden="1">
      <c r="A42" s="3"/>
      <c r="B42" s="58" t="e">
        <f>F40</f>
        <v>#N/A</v>
      </c>
      <c r="C42" s="10" t="e">
        <f>H41</f>
        <v>#N/A</v>
      </c>
      <c r="D42" s="11" t="s">
        <v>0</v>
      </c>
      <c r="E42" s="12" t="e">
        <f>F41</f>
        <v>#N/A</v>
      </c>
      <c r="F42" s="127" t="e">
        <f>IF(C42&gt;E42,H12,IF(C42=E42,H13,H14))</f>
        <v>#N/A</v>
      </c>
      <c r="G42" s="128" t="e">
        <f>IF(I42&gt;K42,H12,IF(I42=K42,H13,H14))</f>
        <v>#N/A</v>
      </c>
      <c r="H42" s="105" t="e">
        <f>0.001*(L42-N42)+0.00001*L42+0.00001*INDEX(AB21:AB26,AP28)</f>
        <v>#N/A</v>
      </c>
      <c r="I42" s="10" t="e">
        <f>INDEX(U4:U18,AP35)</f>
        <v>#N/A</v>
      </c>
      <c r="J42" s="11" t="s">
        <v>0</v>
      </c>
      <c r="K42" s="12" t="e">
        <f>INDEX(W4:W18,AP35)</f>
        <v>#N/A</v>
      </c>
      <c r="L42" s="13" t="e">
        <f>C42+I42</f>
        <v>#N/A</v>
      </c>
      <c r="M42" s="14" t="s">
        <v>0</v>
      </c>
      <c r="N42" s="15" t="e">
        <f>E42+K42</f>
        <v>#N/A</v>
      </c>
      <c r="O42" s="16" t="e">
        <f>SUM(F42:H42)</f>
        <v>#N/A</v>
      </c>
      <c r="P42" s="240" t="e">
        <f>RANK(O42,$O$41:$O$43)</f>
        <v>#N/A</v>
      </c>
      <c r="Q42" s="241"/>
      <c r="R42" s="135"/>
      <c r="S42" s="136"/>
      <c r="T42" s="136"/>
      <c r="U42" s="144"/>
      <c r="V42" s="3"/>
      <c r="W42" s="3"/>
      <c r="X42" s="3"/>
      <c r="Y42" s="3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1:47" s="6" customFormat="1" ht="30" customHeight="1" hidden="1" thickBot="1">
      <c r="A43" s="3"/>
      <c r="B43" s="60" t="e">
        <f>I40</f>
        <v>#N/A</v>
      </c>
      <c r="C43" s="18" t="e">
        <f>K41</f>
        <v>#N/A</v>
      </c>
      <c r="D43" s="19" t="s">
        <v>0</v>
      </c>
      <c r="E43" s="20" t="e">
        <f>I41</f>
        <v>#N/A</v>
      </c>
      <c r="F43" s="18" t="e">
        <f>K42</f>
        <v>#N/A</v>
      </c>
      <c r="G43" s="19" t="s">
        <v>0</v>
      </c>
      <c r="H43" s="20" t="e">
        <f>I42</f>
        <v>#N/A</v>
      </c>
      <c r="I43" s="134" t="e">
        <f>IF(C43&gt;E43,H12,IF(C43=E43,H13,H14))</f>
        <v>#N/A</v>
      </c>
      <c r="J43" s="134" t="e">
        <f>IF(F43&gt;H43,H12,IF(F43=H43,H13,H14))</f>
        <v>#N/A</v>
      </c>
      <c r="K43" s="111" t="e">
        <f>0.001*(L43-N43)+0.00001*L43+0.00001*INDEX(AB21:AB26,AP29)</f>
        <v>#N/A</v>
      </c>
      <c r="L43" s="24" t="e">
        <f>C43+F43</f>
        <v>#N/A</v>
      </c>
      <c r="M43" s="25" t="s">
        <v>0</v>
      </c>
      <c r="N43" s="26" t="e">
        <f>E43+H43</f>
        <v>#N/A</v>
      </c>
      <c r="O43" s="27" t="e">
        <f>SUM(I43:K43)</f>
        <v>#N/A</v>
      </c>
      <c r="P43" s="242" t="e">
        <f>RANK(O43,$O$41:$O$43)</f>
        <v>#N/A</v>
      </c>
      <c r="Q43" s="243"/>
      <c r="R43" s="135"/>
      <c r="S43" s="136"/>
      <c r="T43" s="136"/>
      <c r="U43" s="144"/>
      <c r="V43" s="3"/>
      <c r="W43" s="3"/>
      <c r="X43" s="3"/>
      <c r="Y43" s="3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ht="16.5" hidden="1" thickBot="1"/>
    <row r="45" spans="1:44" s="6" customFormat="1" ht="30" customHeight="1" hidden="1">
      <c r="A45" s="3"/>
      <c r="B45" s="45" t="s">
        <v>92</v>
      </c>
      <c r="C45" s="203" t="e">
        <f>INDEX(F4:F9,AQ28)</f>
        <v>#N/A</v>
      </c>
      <c r="D45" s="203"/>
      <c r="E45" s="203"/>
      <c r="F45" s="203" t="e">
        <f>INDEX(F4:F9,AQ29)</f>
        <v>#N/A</v>
      </c>
      <c r="G45" s="203"/>
      <c r="H45" s="203"/>
      <c r="I45" s="203" t="e">
        <f>INDEX(F4:F9,AQ30)</f>
        <v>#N/A</v>
      </c>
      <c r="J45" s="203"/>
      <c r="K45" s="203"/>
      <c r="L45" s="203" t="e">
        <f>INDEX(F4:F9,AQ31)</f>
        <v>#N/A</v>
      </c>
      <c r="M45" s="203"/>
      <c r="N45" s="203"/>
      <c r="O45" s="212" t="s">
        <v>1</v>
      </c>
      <c r="P45" s="212"/>
      <c r="Q45" s="212"/>
      <c r="R45" s="4" t="s">
        <v>2</v>
      </c>
      <c r="S45" s="244" t="s">
        <v>3</v>
      </c>
      <c r="T45" s="245"/>
      <c r="U45" s="145"/>
      <c r="V45" s="3"/>
      <c r="W45" s="84"/>
      <c r="X45" s="84"/>
      <c r="Y45" s="84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</row>
    <row r="46" spans="1:43" s="6" customFormat="1" ht="30" customHeight="1" hidden="1">
      <c r="A46" s="32">
        <v>1</v>
      </c>
      <c r="B46" s="58" t="e">
        <f>C45</f>
        <v>#N/A</v>
      </c>
      <c r="C46" s="103" t="e">
        <f>IF(F46&gt;H46,H12,IF(F46=H46,H13,H14))</f>
        <v>#N/A</v>
      </c>
      <c r="D46" s="104" t="e">
        <f>IF(I46&gt;K46,H12,IF(I46=K46,H13,H14))</f>
        <v>#N/A</v>
      </c>
      <c r="E46" s="117" t="e">
        <f>IF(L46&gt;N46,H12,IF(L46=N46,H13,H14))</f>
        <v>#N/A</v>
      </c>
      <c r="F46" s="10" t="e">
        <f>INDEX(U4:U18,AR32)</f>
        <v>#N/A</v>
      </c>
      <c r="G46" s="11" t="s">
        <v>0</v>
      </c>
      <c r="H46" s="12" t="e">
        <f>INDEX(W4:W18,AR32)</f>
        <v>#N/A</v>
      </c>
      <c r="I46" s="10" t="e">
        <f>INDEX(U4:U18,AR33)</f>
        <v>#N/A</v>
      </c>
      <c r="J46" s="11" t="s">
        <v>0</v>
      </c>
      <c r="K46" s="12" t="e">
        <f>INDEX(W4:W18,AR33)</f>
        <v>#N/A</v>
      </c>
      <c r="L46" s="10" t="e">
        <f>INDEX(U4:U18,AR34)</f>
        <v>#N/A</v>
      </c>
      <c r="M46" s="11" t="s">
        <v>0</v>
      </c>
      <c r="N46" s="12" t="e">
        <f>INDEX(W4:W18,AR34)</f>
        <v>#N/A</v>
      </c>
      <c r="O46" s="13" t="e">
        <f>F46+I46+L46</f>
        <v>#N/A</v>
      </c>
      <c r="P46" s="14" t="s">
        <v>0</v>
      </c>
      <c r="Q46" s="15" t="e">
        <f>H46+K46+N46</f>
        <v>#N/A</v>
      </c>
      <c r="R46" s="16" t="e">
        <f>SUM(C46:E46)+U46+0.00001*INDEX(AB21:AB26,AQ28)</f>
        <v>#N/A</v>
      </c>
      <c r="S46" s="240" t="e">
        <f>RANK(R46,$R$46:$R$49)</f>
        <v>#N/A</v>
      </c>
      <c r="T46" s="241"/>
      <c r="U46" s="145" t="e">
        <f>0.001*(O46-Q46)+0.00001*O46</f>
        <v>#N/A</v>
      </c>
      <c r="V46" s="84"/>
      <c r="W46" s="84"/>
      <c r="X46" s="84"/>
      <c r="Y46" s="84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43" s="6" customFormat="1" ht="30" customHeight="1" hidden="1">
      <c r="A47" s="32">
        <v>2</v>
      </c>
      <c r="B47" s="58" t="e">
        <f>F45</f>
        <v>#N/A</v>
      </c>
      <c r="C47" s="10" t="e">
        <f>H46</f>
        <v>#N/A</v>
      </c>
      <c r="D47" s="11" t="s">
        <v>0</v>
      </c>
      <c r="E47" s="12" t="e">
        <f>F46</f>
        <v>#N/A</v>
      </c>
      <c r="F47" s="103" t="e">
        <f>IF(C47&gt;E47,H12,IF(C47=E47,H13,H14))</f>
        <v>#N/A</v>
      </c>
      <c r="G47" s="104" t="e">
        <f>IF(I47&gt;K47,H12,IF(I47=K47,H13,H14))</f>
        <v>#N/A</v>
      </c>
      <c r="H47" s="117" t="e">
        <f>IF(L47&gt;N47,H12,IF(L47=N47,H13,H14))</f>
        <v>#N/A</v>
      </c>
      <c r="I47" s="10" t="e">
        <f>INDEX(U4:U18,AR35)</f>
        <v>#N/A</v>
      </c>
      <c r="J47" s="11" t="s">
        <v>0</v>
      </c>
      <c r="K47" s="12" t="e">
        <f>INDEX(W4:W18,AR35)</f>
        <v>#N/A</v>
      </c>
      <c r="L47" s="10" t="e">
        <f>INDEX(U4:U18,AR36)</f>
        <v>#N/A</v>
      </c>
      <c r="M47" s="11" t="s">
        <v>0</v>
      </c>
      <c r="N47" s="12" t="e">
        <f>INDEX(W4:W18,AR36)</f>
        <v>#N/A</v>
      </c>
      <c r="O47" s="13" t="e">
        <f>C47+I47+L47</f>
        <v>#N/A</v>
      </c>
      <c r="P47" s="14" t="s">
        <v>0</v>
      </c>
      <c r="Q47" s="15" t="e">
        <f>E47+K47+N47</f>
        <v>#N/A</v>
      </c>
      <c r="R47" s="16" t="e">
        <f>SUM(F47:H47)+U47+0.00001*INDEX(AB21:AB26,AQ29)</f>
        <v>#N/A</v>
      </c>
      <c r="S47" s="240" t="e">
        <f>RANK(R47,$R$46:$R$49)</f>
        <v>#N/A</v>
      </c>
      <c r="T47" s="241"/>
      <c r="U47" s="145" t="e">
        <f>0.001*(O47-Q47)+0.00001*O47</f>
        <v>#N/A</v>
      </c>
      <c r="V47" s="84"/>
      <c r="W47" s="84"/>
      <c r="X47" s="84"/>
      <c r="Y47" s="84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43" s="6" customFormat="1" ht="30" customHeight="1" hidden="1">
      <c r="A48" s="32">
        <v>3</v>
      </c>
      <c r="B48" s="58" t="e">
        <f>I45</f>
        <v>#N/A</v>
      </c>
      <c r="C48" s="10" t="e">
        <f>K46</f>
        <v>#N/A</v>
      </c>
      <c r="D48" s="11" t="s">
        <v>0</v>
      </c>
      <c r="E48" s="12" t="e">
        <f>I46</f>
        <v>#N/A</v>
      </c>
      <c r="F48" s="10" t="e">
        <f>K47</f>
        <v>#N/A</v>
      </c>
      <c r="G48" s="11" t="s">
        <v>0</v>
      </c>
      <c r="H48" s="12" t="e">
        <f>I47</f>
        <v>#N/A</v>
      </c>
      <c r="I48" s="118" t="e">
        <f>IF(C48&gt;E48,H12,IF(C48=E48,H13,H14))</f>
        <v>#N/A</v>
      </c>
      <c r="J48" s="104" t="e">
        <f>IF(F48&gt;H48,H12,IF(F48=H48,H13,H14))</f>
        <v>#N/A</v>
      </c>
      <c r="K48" s="119" t="e">
        <f>IF(L48&gt;N48,H12,IF(L48=N48,H13,H14))</f>
        <v>#N/A</v>
      </c>
      <c r="L48" s="10" t="e">
        <f>INDEX(U4:U18,AR37)</f>
        <v>#N/A</v>
      </c>
      <c r="M48" s="11" t="s">
        <v>0</v>
      </c>
      <c r="N48" s="12" t="e">
        <f>INDEX(W4:W18,AR37)</f>
        <v>#N/A</v>
      </c>
      <c r="O48" s="13" t="e">
        <f>C48+F48+L48</f>
        <v>#N/A</v>
      </c>
      <c r="P48" s="14" t="s">
        <v>0</v>
      </c>
      <c r="Q48" s="15" t="e">
        <f>E48+H48+N48</f>
        <v>#N/A</v>
      </c>
      <c r="R48" s="16" t="e">
        <f>SUM(I48:K48)+U48+0.00001*INDEX(AB21:AB26,AQ30)</f>
        <v>#N/A</v>
      </c>
      <c r="S48" s="240" t="e">
        <f>RANK(R48,$R$46:$R$49)</f>
        <v>#N/A</v>
      </c>
      <c r="T48" s="241"/>
      <c r="U48" s="145" t="e">
        <f>0.001*(O48-Q48)+0.00001*O48</f>
        <v>#N/A</v>
      </c>
      <c r="V48" s="84"/>
      <c r="W48" s="84"/>
      <c r="X48" s="84"/>
      <c r="Y48" s="84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1:43" s="6" customFormat="1" ht="30" customHeight="1" hidden="1" thickBot="1">
      <c r="A49" s="32">
        <v>4</v>
      </c>
      <c r="B49" s="59" t="e">
        <f>L45</f>
        <v>#N/A</v>
      </c>
      <c r="C49" s="51" t="e">
        <f>N46</f>
        <v>#N/A</v>
      </c>
      <c r="D49" s="52" t="s">
        <v>0</v>
      </c>
      <c r="E49" s="53" t="e">
        <f>L46</f>
        <v>#N/A</v>
      </c>
      <c r="F49" s="51" t="e">
        <f>N47</f>
        <v>#N/A</v>
      </c>
      <c r="G49" s="52" t="s">
        <v>0</v>
      </c>
      <c r="H49" s="53" t="e">
        <f>L47</f>
        <v>#N/A</v>
      </c>
      <c r="I49" s="51" t="e">
        <f>N48</f>
        <v>#N/A</v>
      </c>
      <c r="J49" s="52" t="s">
        <v>0</v>
      </c>
      <c r="K49" s="53" t="e">
        <f>L48</f>
        <v>#N/A</v>
      </c>
      <c r="L49" s="120" t="e">
        <f>IF(C49&gt;E49,H12,IF(C49=E49,H13,H14))</f>
        <v>#N/A</v>
      </c>
      <c r="M49" s="110" t="e">
        <f>IF(F49&gt;H49,H12,IF(F49=H49,H13,H14))</f>
        <v>#N/A</v>
      </c>
      <c r="N49" s="121" t="e">
        <f>IF(I49&gt;K49,H12,IF(I49=K49,H13,H14))</f>
        <v>#N/A</v>
      </c>
      <c r="O49" s="54" t="e">
        <f>C49+F49+I49</f>
        <v>#N/A</v>
      </c>
      <c r="P49" s="43" t="s">
        <v>0</v>
      </c>
      <c r="Q49" s="55" t="e">
        <f>E49+H49+K49</f>
        <v>#N/A</v>
      </c>
      <c r="R49" s="56" t="e">
        <f>SUM(L49:N49)+U49+0.00001*INDEX(AB21:AB26,AQ31)</f>
        <v>#N/A</v>
      </c>
      <c r="S49" s="242" t="e">
        <f>RANK(R49,$R$46:$R$49)</f>
        <v>#N/A</v>
      </c>
      <c r="T49" s="243"/>
      <c r="U49" s="145" t="e">
        <f>0.001*(O49-Q49)+0.00001*O49</f>
        <v>#N/A</v>
      </c>
      <c r="V49" s="84"/>
      <c r="W49" s="84"/>
      <c r="X49" s="84"/>
      <c r="Y49" s="84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ht="16.5" hidden="1" thickBot="1"/>
    <row r="51" spans="1:25" s="6" customFormat="1" ht="30" customHeight="1" hidden="1">
      <c r="A51" s="29"/>
      <c r="B51" s="45" t="s">
        <v>93</v>
      </c>
      <c r="C51" s="203" t="e">
        <f>INDEX(F4:F9,AW27)</f>
        <v>#N/A</v>
      </c>
      <c r="D51" s="203"/>
      <c r="E51" s="203"/>
      <c r="F51" s="203" t="e">
        <f>INDEX(F4:F9,AV28)</f>
        <v>#N/A</v>
      </c>
      <c r="G51" s="203"/>
      <c r="H51" s="203"/>
      <c r="I51" s="203" t="e">
        <f>INDEX(F4:F9,AW28)</f>
        <v>#N/A</v>
      </c>
      <c r="J51" s="203"/>
      <c r="K51" s="203"/>
      <c r="L51" s="203" t="e">
        <f>INDEX(F4:F9,AV29)</f>
        <v>#N/A</v>
      </c>
      <c r="M51" s="203"/>
      <c r="N51" s="203"/>
      <c r="O51" s="203" t="e">
        <f>INDEX(F4:F9,AW29)</f>
        <v>#N/A</v>
      </c>
      <c r="P51" s="203"/>
      <c r="Q51" s="203"/>
      <c r="R51" s="212" t="s">
        <v>1</v>
      </c>
      <c r="S51" s="212"/>
      <c r="T51" s="212"/>
      <c r="U51" s="4" t="s">
        <v>2</v>
      </c>
      <c r="V51" s="244" t="s">
        <v>3</v>
      </c>
      <c r="W51" s="245"/>
      <c r="X51" s="84"/>
      <c r="Y51" s="3"/>
    </row>
    <row r="52" spans="1:25" s="6" customFormat="1" ht="30" customHeight="1" hidden="1">
      <c r="A52" s="29">
        <v>1</v>
      </c>
      <c r="B52" s="58" t="e">
        <f>C51</f>
        <v>#N/A</v>
      </c>
      <c r="C52" s="127" t="e">
        <f>IF(F52&gt;H52,H12,IF(F52=H52,H13,H14))</f>
        <v>#N/A</v>
      </c>
      <c r="D52" s="128" t="e">
        <f>IF(I52&gt;K52,H12,IF(I52=K52,H13,H14))</f>
        <v>#N/A</v>
      </c>
      <c r="E52" s="129" t="e">
        <f>IF(L52&gt;N52,H12,IF(L52=N52,H13,H14))</f>
        <v>#N/A</v>
      </c>
      <c r="F52" s="10" t="e">
        <f>INDEX(U4:U18,AW30)</f>
        <v>#N/A</v>
      </c>
      <c r="G52" s="11" t="s">
        <v>0</v>
      </c>
      <c r="H52" s="12" t="e">
        <f>INDEX(W4:W18,AW30)</f>
        <v>#N/A</v>
      </c>
      <c r="I52" s="10" t="e">
        <f>INDEX(U4:U18,AW31)</f>
        <v>#N/A</v>
      </c>
      <c r="J52" s="11" t="s">
        <v>0</v>
      </c>
      <c r="K52" s="12" t="e">
        <f>INDEX(W4:W18,AW31)</f>
        <v>#N/A</v>
      </c>
      <c r="L52" s="10" t="e">
        <f>INDEX(U4:U18,AW32)</f>
        <v>#N/A</v>
      </c>
      <c r="M52" s="11" t="s">
        <v>0</v>
      </c>
      <c r="N52" s="12" t="e">
        <f>INDEX(W4:W18,AW32)</f>
        <v>#N/A</v>
      </c>
      <c r="O52" s="69" t="e">
        <f>INDEX(U4:U18,AW33)</f>
        <v>#N/A</v>
      </c>
      <c r="P52" s="11" t="s">
        <v>0</v>
      </c>
      <c r="Q52" s="12" t="e">
        <f>INDEX(W4:W18,AW33)</f>
        <v>#N/A</v>
      </c>
      <c r="R52" s="13" t="e">
        <f>F52+I52+L52+O52</f>
        <v>#N/A</v>
      </c>
      <c r="S52" s="14" t="s">
        <v>0</v>
      </c>
      <c r="T52" s="15" t="e">
        <f>H52+K52+N52+Q52</f>
        <v>#N/A</v>
      </c>
      <c r="U52" s="16" t="e">
        <f>SUM(C52:E52)+X52+Y52</f>
        <v>#N/A</v>
      </c>
      <c r="V52" s="240" t="e">
        <f>RANK(U52,$U$52:$U$56)</f>
        <v>#N/A</v>
      </c>
      <c r="W52" s="241"/>
      <c r="X52" s="84" t="e">
        <f>IF(O52&gt;Q52,$H$12,IF(O52=Q52,$H$13,$H$14))</f>
        <v>#N/A</v>
      </c>
      <c r="Y52" s="84" t="e">
        <f>0.001*(R52-T52)+0.00001*R52</f>
        <v>#N/A</v>
      </c>
    </row>
    <row r="53" spans="1:25" s="6" customFormat="1" ht="30" customHeight="1" hidden="1">
      <c r="A53" s="29">
        <v>2</v>
      </c>
      <c r="B53" s="58" t="e">
        <f>F51</f>
        <v>#N/A</v>
      </c>
      <c r="C53" s="10" t="e">
        <f>H52</f>
        <v>#N/A</v>
      </c>
      <c r="D53" s="11" t="s">
        <v>0</v>
      </c>
      <c r="E53" s="12" t="e">
        <f>F52</f>
        <v>#N/A</v>
      </c>
      <c r="F53" s="127" t="e">
        <f>IF(C53&gt;E53,H12,IF(C53=E53,H13,H14))</f>
        <v>#N/A</v>
      </c>
      <c r="G53" s="128" t="e">
        <f>IF(I53&gt;K53,H12,IF(I53=K53,H13,H14))</f>
        <v>#N/A</v>
      </c>
      <c r="H53" s="129" t="e">
        <f>IF(L53&gt;N53,H12,IF(L53=N53,H13,H14))</f>
        <v>#N/A</v>
      </c>
      <c r="I53" s="10" t="e">
        <f>INDEX(U4:U18,AW34)</f>
        <v>#N/A</v>
      </c>
      <c r="J53" s="11" t="s">
        <v>0</v>
      </c>
      <c r="K53" s="12" t="e">
        <f>INDEX(W4:W18,AW34)</f>
        <v>#N/A</v>
      </c>
      <c r="L53" s="10" t="e">
        <f>INDEX(U4:U18,AW35)</f>
        <v>#N/A</v>
      </c>
      <c r="M53" s="11" t="s">
        <v>0</v>
      </c>
      <c r="N53" s="12" t="e">
        <f>INDEX(W4:W18,AW35)</f>
        <v>#N/A</v>
      </c>
      <c r="O53" s="69" t="e">
        <f>INDEX(U4:U18,AW36)</f>
        <v>#N/A</v>
      </c>
      <c r="P53" s="11" t="s">
        <v>0</v>
      </c>
      <c r="Q53" s="12" t="e">
        <f>INDEX(W4:W18,AW36)</f>
        <v>#N/A</v>
      </c>
      <c r="R53" s="13" t="e">
        <f>C53+I53+L53+O53</f>
        <v>#N/A</v>
      </c>
      <c r="S53" s="14" t="s">
        <v>0</v>
      </c>
      <c r="T53" s="15" t="e">
        <f>E53+K53+N53+Q53</f>
        <v>#N/A</v>
      </c>
      <c r="U53" s="16" t="e">
        <f>SUM(F53:H53)+X53+Y53</f>
        <v>#N/A</v>
      </c>
      <c r="V53" s="240" t="e">
        <f>RANK(U53,$U$52:$U$56)</f>
        <v>#N/A</v>
      </c>
      <c r="W53" s="241"/>
      <c r="X53" s="84" t="e">
        <f>IF(O53&gt;Q53,$H$12,IF(O53=Q53,$H$13,$H$14))</f>
        <v>#N/A</v>
      </c>
      <c r="Y53" s="84" t="e">
        <f>0.001*(R53-T53)+0.00001*R53</f>
        <v>#N/A</v>
      </c>
    </row>
    <row r="54" spans="1:25" s="6" customFormat="1" ht="30" customHeight="1" hidden="1">
      <c r="A54" s="29">
        <v>3</v>
      </c>
      <c r="B54" s="58" t="e">
        <f>I51</f>
        <v>#N/A</v>
      </c>
      <c r="C54" s="10" t="e">
        <f>K52</f>
        <v>#N/A</v>
      </c>
      <c r="D54" s="11" t="s">
        <v>0</v>
      </c>
      <c r="E54" s="12" t="e">
        <f>I52</f>
        <v>#N/A</v>
      </c>
      <c r="F54" s="10" t="e">
        <f>K53</f>
        <v>#N/A</v>
      </c>
      <c r="G54" s="11" t="s">
        <v>0</v>
      </c>
      <c r="H54" s="12" t="e">
        <f>I53</f>
        <v>#N/A</v>
      </c>
      <c r="I54" s="128" t="e">
        <f>IF(C54&gt;E54,H12,IF(C54=E54,H13,H14))</f>
        <v>#N/A</v>
      </c>
      <c r="J54" s="128" t="e">
        <f>IF(F54&gt;H54,H12,IF(F54=H54,H13,H14))</f>
        <v>#N/A</v>
      </c>
      <c r="K54" s="130" t="e">
        <f>IF(L54&gt;N54,H12,IF(L54=N54,H13,H14))</f>
        <v>#N/A</v>
      </c>
      <c r="L54" s="10" t="e">
        <f>INDEX(U4:U18,AW37)</f>
        <v>#N/A</v>
      </c>
      <c r="M54" s="11" t="s">
        <v>0</v>
      </c>
      <c r="N54" s="12" t="e">
        <f>INDEX(W4:W18,AW37)</f>
        <v>#N/A</v>
      </c>
      <c r="O54" s="69" t="e">
        <f>INDEX(U4:U18,AW38)</f>
        <v>#N/A</v>
      </c>
      <c r="P54" s="11" t="s">
        <v>0</v>
      </c>
      <c r="Q54" s="12" t="e">
        <f>INDEX(W4:W18,AW38)</f>
        <v>#N/A</v>
      </c>
      <c r="R54" s="13" t="e">
        <f>C54+F54+L54+O54</f>
        <v>#N/A</v>
      </c>
      <c r="S54" s="14" t="s">
        <v>0</v>
      </c>
      <c r="T54" s="15" t="e">
        <f>E54+H54+N54+Q54</f>
        <v>#N/A</v>
      </c>
      <c r="U54" s="16" t="e">
        <f>SUM(I54:K54)+X54+Y54</f>
        <v>#N/A</v>
      </c>
      <c r="V54" s="240" t="e">
        <f>RANK(U54,$U$52:$U$56)</f>
        <v>#N/A</v>
      </c>
      <c r="W54" s="241"/>
      <c r="X54" s="84" t="e">
        <f>IF(O54&gt;Q54,$H$12,IF(O54=Q54,$H$13,$H$14))</f>
        <v>#N/A</v>
      </c>
      <c r="Y54" s="84" t="e">
        <f>0.001*(R54-T54)+0.00001*R54</f>
        <v>#N/A</v>
      </c>
    </row>
    <row r="55" spans="1:25" s="6" customFormat="1" ht="30" customHeight="1" hidden="1">
      <c r="A55" s="29">
        <v>4</v>
      </c>
      <c r="B55" s="58" t="e">
        <f>L51</f>
        <v>#N/A</v>
      </c>
      <c r="C55" s="10" t="e">
        <f>N52</f>
        <v>#N/A</v>
      </c>
      <c r="D55" s="11" t="s">
        <v>0</v>
      </c>
      <c r="E55" s="12" t="e">
        <f>L52</f>
        <v>#N/A</v>
      </c>
      <c r="F55" s="10" t="e">
        <f>N53</f>
        <v>#N/A</v>
      </c>
      <c r="G55" s="11" t="s">
        <v>0</v>
      </c>
      <c r="H55" s="12" t="e">
        <f>L53</f>
        <v>#N/A</v>
      </c>
      <c r="I55" s="10" t="e">
        <f>N54</f>
        <v>#N/A</v>
      </c>
      <c r="J55" s="11" t="s">
        <v>0</v>
      </c>
      <c r="K55" s="12" t="e">
        <f>L54</f>
        <v>#N/A</v>
      </c>
      <c r="L55" s="128" t="e">
        <f>IF(C55&gt;E55,H12,IF(C55=E55,H13,H14))</f>
        <v>#N/A</v>
      </c>
      <c r="M55" s="128" t="e">
        <f>IF(F55&gt;H55,H12,IF(F55=H55,H13,H14))</f>
        <v>#N/A</v>
      </c>
      <c r="N55" s="130" t="e">
        <f>IF(I55&gt;K55,H12,IF(I55=K55,H13,H14))</f>
        <v>#N/A</v>
      </c>
      <c r="O55" s="69" t="e">
        <f>INDEX(U4:U18,AW39)</f>
        <v>#N/A</v>
      </c>
      <c r="P55" s="11" t="s">
        <v>0</v>
      </c>
      <c r="Q55" s="12" t="e">
        <f>INDEX(W4:W18,AW39)</f>
        <v>#N/A</v>
      </c>
      <c r="R55" s="13" t="e">
        <f>C55+F55+I55+O55</f>
        <v>#N/A</v>
      </c>
      <c r="S55" s="14" t="s">
        <v>0</v>
      </c>
      <c r="T55" s="15" t="e">
        <f>E55+H55+K55+Q55</f>
        <v>#N/A</v>
      </c>
      <c r="U55" s="16" t="e">
        <f>SUM(L55:N55)+X55+Y55</f>
        <v>#N/A</v>
      </c>
      <c r="V55" s="240" t="e">
        <f>RANK(U55,$U$52:$U$56)</f>
        <v>#N/A</v>
      </c>
      <c r="W55" s="241"/>
      <c r="X55" s="84" t="e">
        <f>IF(O55&gt;Q55,$H$12,IF(O55=Q55,$H$13,$H$14))</f>
        <v>#N/A</v>
      </c>
      <c r="Y55" s="84" t="e">
        <f>0.001*(R55-T55)+0.00001*R55</f>
        <v>#N/A</v>
      </c>
    </row>
    <row r="56" spans="1:25" s="6" customFormat="1" ht="30" customHeight="1" hidden="1" thickBot="1">
      <c r="A56" s="29">
        <v>5</v>
      </c>
      <c r="B56" s="59" t="e">
        <f>O51</f>
        <v>#N/A</v>
      </c>
      <c r="C56" s="51" t="e">
        <f>Q52</f>
        <v>#N/A</v>
      </c>
      <c r="D56" s="52" t="s">
        <v>0</v>
      </c>
      <c r="E56" s="53" t="e">
        <f>O52</f>
        <v>#N/A</v>
      </c>
      <c r="F56" s="51" t="e">
        <f>Q53</f>
        <v>#N/A</v>
      </c>
      <c r="G56" s="52" t="s">
        <v>0</v>
      </c>
      <c r="H56" s="53" t="e">
        <f>O53</f>
        <v>#N/A</v>
      </c>
      <c r="I56" s="51" t="e">
        <f>Q54</f>
        <v>#N/A</v>
      </c>
      <c r="J56" s="52" t="s">
        <v>0</v>
      </c>
      <c r="K56" s="53" t="e">
        <f>O54</f>
        <v>#N/A</v>
      </c>
      <c r="L56" s="51" t="e">
        <f>Q55</f>
        <v>#N/A</v>
      </c>
      <c r="M56" s="52" t="s">
        <v>0</v>
      </c>
      <c r="N56" s="53" t="e">
        <f>O55</f>
        <v>#N/A</v>
      </c>
      <c r="O56" s="131" t="e">
        <f>IF(C56&gt;E56,H12,IF(C56=E56,H13,H14))</f>
        <v>#N/A</v>
      </c>
      <c r="P56" s="131" t="e">
        <f>IF(F56&gt;H56,H12,IF(F56=H56,H13,H14))</f>
        <v>#N/A</v>
      </c>
      <c r="Q56" s="132" t="e">
        <f>IF(I56&gt;K56,H12,IF(I56=K56,H13,H14))</f>
        <v>#N/A</v>
      </c>
      <c r="R56" s="54" t="e">
        <f>C56+F56+I56+L56</f>
        <v>#N/A</v>
      </c>
      <c r="S56" s="43" t="s">
        <v>0</v>
      </c>
      <c r="T56" s="55" t="e">
        <f>E56+H56+K56+N56</f>
        <v>#N/A</v>
      </c>
      <c r="U56" s="56" t="e">
        <f>SUM(O56:Q56)+X56+Y56</f>
        <v>#N/A</v>
      </c>
      <c r="V56" s="242" t="e">
        <f>RANK(U56,$U$52:$U$56)</f>
        <v>#N/A</v>
      </c>
      <c r="W56" s="243"/>
      <c r="X56" s="84" t="e">
        <f>IF(O56&gt;Q56,$H$12,IF(O56=Q56,$H$13,$H$14))</f>
        <v>#N/A</v>
      </c>
      <c r="Y56" s="84" t="e">
        <f>0.001*(R56-T56)+0.00001*R56</f>
        <v>#N/A</v>
      </c>
    </row>
    <row r="59" ht="15.75"/>
    <row r="61" ht="15.75"/>
  </sheetData>
  <sheetProtection sheet="1" objects="1" scenarios="1"/>
  <mergeCells count="103">
    <mergeCell ref="C51:E51"/>
    <mergeCell ref="F51:H51"/>
    <mergeCell ref="I51:K51"/>
    <mergeCell ref="L51:N51"/>
    <mergeCell ref="O51:Q51"/>
    <mergeCell ref="R51:T51"/>
    <mergeCell ref="V55:W55"/>
    <mergeCell ref="V56:W56"/>
    <mergeCell ref="V53:W53"/>
    <mergeCell ref="V54:W54"/>
    <mergeCell ref="V51:W51"/>
    <mergeCell ref="V52:W52"/>
    <mergeCell ref="C40:E40"/>
    <mergeCell ref="F40:H40"/>
    <mergeCell ref="I40:K40"/>
    <mergeCell ref="L40:N40"/>
    <mergeCell ref="P40:Q40"/>
    <mergeCell ref="P41:Q41"/>
    <mergeCell ref="S49:T49"/>
    <mergeCell ref="O45:Q45"/>
    <mergeCell ref="S45:T45"/>
    <mergeCell ref="S46:T46"/>
    <mergeCell ref="S47:T47"/>
    <mergeCell ref="S48:T48"/>
    <mergeCell ref="P42:Q42"/>
    <mergeCell ref="P43:Q43"/>
    <mergeCell ref="C45:E45"/>
    <mergeCell ref="F45:H45"/>
    <mergeCell ref="I45:K45"/>
    <mergeCell ref="L45:N45"/>
    <mergeCell ref="P36:Q36"/>
    <mergeCell ref="M9:N9"/>
    <mergeCell ref="O9:Q9"/>
    <mergeCell ref="R9:T9"/>
    <mergeCell ref="R11:T11"/>
    <mergeCell ref="M12:N12"/>
    <mergeCell ref="O12:Q12"/>
    <mergeCell ref="E12:G12"/>
    <mergeCell ref="E13:G13"/>
    <mergeCell ref="F20:H20"/>
    <mergeCell ref="P35:Q35"/>
    <mergeCell ref="I20:K20"/>
    <mergeCell ref="L20:N20"/>
    <mergeCell ref="C20:E20"/>
    <mergeCell ref="C35:E35"/>
    <mergeCell ref="F35:H35"/>
    <mergeCell ref="I35:K35"/>
    <mergeCell ref="R7:T7"/>
    <mergeCell ref="R20:T20"/>
    <mergeCell ref="M15:N15"/>
    <mergeCell ref="O15:Q15"/>
    <mergeCell ref="M8:N8"/>
    <mergeCell ref="M10:N10"/>
    <mergeCell ref="R16:T16"/>
    <mergeCell ref="R17:T17"/>
    <mergeCell ref="O18:Q18"/>
    <mergeCell ref="R18:T18"/>
    <mergeCell ref="U20:W20"/>
    <mergeCell ref="R6:T6"/>
    <mergeCell ref="R8:T8"/>
    <mergeCell ref="O20:Q20"/>
    <mergeCell ref="R10:T10"/>
    <mergeCell ref="O6:Q6"/>
    <mergeCell ref="O7:Q7"/>
    <mergeCell ref="O8:Q8"/>
    <mergeCell ref="O10:Q10"/>
    <mergeCell ref="R15:T15"/>
    <mergeCell ref="B1:Y1"/>
    <mergeCell ref="E14:G14"/>
    <mergeCell ref="F4:H4"/>
    <mergeCell ref="F5:H5"/>
    <mergeCell ref="F6:H6"/>
    <mergeCell ref="F9:H9"/>
    <mergeCell ref="F7:H7"/>
    <mergeCell ref="E11:H11"/>
    <mergeCell ref="O4:Q4"/>
    <mergeCell ref="R4:T4"/>
    <mergeCell ref="M6:N6"/>
    <mergeCell ref="M5:N5"/>
    <mergeCell ref="M4:N4"/>
    <mergeCell ref="L3:W3"/>
    <mergeCell ref="O5:Q5"/>
    <mergeCell ref="R5:T5"/>
    <mergeCell ref="P37:Q37"/>
    <mergeCell ref="P38:Q38"/>
    <mergeCell ref="M13:N13"/>
    <mergeCell ref="O13:Q13"/>
    <mergeCell ref="L35:N35"/>
    <mergeCell ref="M16:N16"/>
    <mergeCell ref="O16:Q16"/>
    <mergeCell ref="M17:N17"/>
    <mergeCell ref="O17:Q17"/>
    <mergeCell ref="M18:N18"/>
    <mergeCell ref="E3:H3"/>
    <mergeCell ref="M14:N14"/>
    <mergeCell ref="O14:Q14"/>
    <mergeCell ref="R14:T14"/>
    <mergeCell ref="R13:T13"/>
    <mergeCell ref="R12:T12"/>
    <mergeCell ref="F8:H8"/>
    <mergeCell ref="M11:N11"/>
    <mergeCell ref="O11:Q11"/>
    <mergeCell ref="M7:N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40"/>
  <sheetViews>
    <sheetView showGridLines="0" zoomScalePageLayoutView="0" workbookViewId="0" topLeftCell="A1">
      <selection activeCell="E5" sqref="E5:G5"/>
    </sheetView>
  </sheetViews>
  <sheetFormatPr defaultColWidth="9.140625" defaultRowHeight="12.75"/>
  <cols>
    <col min="1" max="1" width="0.85546875" style="1" customWidth="1"/>
    <col min="2" max="2" width="6.7109375" style="3" customWidth="1"/>
    <col min="3" max="3" width="1.7109375" style="3" customWidth="1"/>
    <col min="4" max="5" width="6.7109375" style="29" customWidth="1"/>
    <col min="6" max="6" width="1.7109375" style="29" customWidth="1"/>
    <col min="7" max="8" width="6.7109375" style="29" customWidth="1"/>
    <col min="9" max="9" width="1.7109375" style="29" customWidth="1"/>
    <col min="10" max="11" width="6.7109375" style="29" customWidth="1"/>
    <col min="12" max="12" width="1.7109375" style="29" customWidth="1"/>
    <col min="13" max="13" width="6.7109375" style="29" customWidth="1"/>
    <col min="14" max="14" width="4.7109375" style="29" customWidth="1"/>
    <col min="15" max="15" width="1.7109375" style="29" customWidth="1"/>
    <col min="16" max="16" width="4.7109375" style="29" customWidth="1"/>
    <col min="17" max="18" width="6.7109375" style="29" customWidth="1"/>
  </cols>
  <sheetData>
    <row r="1" spans="4:18" ht="33.75">
      <c r="D1" s="254" t="s">
        <v>14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4:18" ht="15.75">
      <c r="D2" s="265" t="s">
        <v>48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ht="16.5" thickBot="1"/>
    <row r="4" spans="1:18" s="6" customFormat="1" ht="19.5" customHeight="1">
      <c r="A4" s="3"/>
      <c r="B4" s="3"/>
      <c r="D4" s="229" t="s">
        <v>4</v>
      </c>
      <c r="E4" s="230"/>
      <c r="F4" s="230"/>
      <c r="G4" s="231"/>
      <c r="J4" s="229" t="s">
        <v>4</v>
      </c>
      <c r="K4" s="230"/>
      <c r="L4" s="230"/>
      <c r="M4" s="231"/>
      <c r="O4" s="227" t="s">
        <v>5</v>
      </c>
      <c r="P4" s="212"/>
      <c r="Q4" s="212"/>
      <c r="R4" s="228"/>
    </row>
    <row r="5" spans="1:18" s="6" customFormat="1" ht="19.5" customHeight="1">
      <c r="A5" s="3"/>
      <c r="B5" s="3"/>
      <c r="D5" s="125" t="s">
        <v>15</v>
      </c>
      <c r="E5" s="222"/>
      <c r="F5" s="222"/>
      <c r="G5" s="223"/>
      <c r="J5" s="160" t="s">
        <v>17</v>
      </c>
      <c r="K5" s="255"/>
      <c r="L5" s="255"/>
      <c r="M5" s="256"/>
      <c r="O5" s="220" t="s">
        <v>6</v>
      </c>
      <c r="P5" s="221"/>
      <c r="Q5" s="221"/>
      <c r="R5" s="35">
        <v>3</v>
      </c>
    </row>
    <row r="6" spans="1:18" s="6" customFormat="1" ht="19.5" customHeight="1">
      <c r="A6" s="3"/>
      <c r="B6" s="3"/>
      <c r="D6" s="125" t="s">
        <v>16</v>
      </c>
      <c r="E6" s="222"/>
      <c r="F6" s="222"/>
      <c r="G6" s="223"/>
      <c r="J6" s="125" t="s">
        <v>19</v>
      </c>
      <c r="K6" s="222"/>
      <c r="L6" s="222"/>
      <c r="M6" s="223"/>
      <c r="O6" s="220" t="s">
        <v>7</v>
      </c>
      <c r="P6" s="221"/>
      <c r="Q6" s="221"/>
      <c r="R6" s="35">
        <v>1</v>
      </c>
    </row>
    <row r="7" spans="1:18" s="6" customFormat="1" ht="19.5" customHeight="1" thickBot="1">
      <c r="A7" s="3"/>
      <c r="B7" s="3"/>
      <c r="D7" s="138" t="s">
        <v>18</v>
      </c>
      <c r="E7" s="207"/>
      <c r="F7" s="207"/>
      <c r="G7" s="208"/>
      <c r="J7" s="138" t="s">
        <v>20</v>
      </c>
      <c r="K7" s="207"/>
      <c r="L7" s="207"/>
      <c r="M7" s="208"/>
      <c r="O7" s="205" t="s">
        <v>8</v>
      </c>
      <c r="P7" s="206"/>
      <c r="Q7" s="206"/>
      <c r="R7" s="36">
        <v>0</v>
      </c>
    </row>
    <row r="8" spans="1:18" s="6" customFormat="1" ht="19.5" customHeight="1" thickBot="1">
      <c r="A8" s="3"/>
      <c r="B8" s="3"/>
      <c r="C8" s="3"/>
      <c r="D8" s="29"/>
      <c r="E8" s="29"/>
      <c r="K8" s="29"/>
      <c r="L8" s="29"/>
      <c r="M8" s="38"/>
      <c r="N8" s="38"/>
      <c r="O8" s="38"/>
      <c r="P8" s="37"/>
      <c r="Q8" s="29"/>
      <c r="R8" s="29"/>
    </row>
    <row r="9" spans="1:18" s="6" customFormat="1" ht="19.5" customHeight="1">
      <c r="A9" s="3"/>
      <c r="B9" s="3"/>
      <c r="C9" s="3"/>
      <c r="D9" s="29"/>
      <c r="E9" s="229" t="s">
        <v>35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1"/>
      <c r="Q9" s="29"/>
      <c r="R9" s="29"/>
    </row>
    <row r="10" spans="1:18" s="6" customFormat="1" ht="19.5" customHeight="1">
      <c r="A10" s="3"/>
      <c r="B10" s="3"/>
      <c r="C10" s="3"/>
      <c r="D10" s="47" t="e">
        <f>RANK(Q18,Q18:Q20)</f>
        <v>#VALUE!</v>
      </c>
      <c r="E10" s="99" t="s">
        <v>27</v>
      </c>
      <c r="F10" s="219" t="s">
        <v>21</v>
      </c>
      <c r="G10" s="219"/>
      <c r="H10" s="209">
        <f>IF(E5="","",E5)</f>
      </c>
      <c r="I10" s="209"/>
      <c r="J10" s="209"/>
      <c r="K10" s="210">
        <f>IF(E6="","",E6)</f>
      </c>
      <c r="L10" s="210"/>
      <c r="M10" s="210"/>
      <c r="N10" s="30"/>
      <c r="O10" s="14" t="s">
        <v>0</v>
      </c>
      <c r="P10" s="31"/>
      <c r="Q10" s="32"/>
      <c r="R10" s="32"/>
    </row>
    <row r="11" spans="1:18" s="6" customFormat="1" ht="19.5" customHeight="1">
      <c r="A11" s="3"/>
      <c r="B11" s="3"/>
      <c r="C11" s="3"/>
      <c r="D11" s="47" t="e">
        <f>RANK(Q19,Q18:Q20)</f>
        <v>#VALUE!</v>
      </c>
      <c r="E11" s="99" t="s">
        <v>28</v>
      </c>
      <c r="F11" s="219" t="s">
        <v>22</v>
      </c>
      <c r="G11" s="219"/>
      <c r="H11" s="209">
        <f>IF(K5="","",K5)</f>
      </c>
      <c r="I11" s="209"/>
      <c r="J11" s="209"/>
      <c r="K11" s="210">
        <f>IF(K6="","",K6)</f>
      </c>
      <c r="L11" s="210"/>
      <c r="M11" s="210"/>
      <c r="N11" s="39"/>
      <c r="O11" s="14" t="s">
        <v>0</v>
      </c>
      <c r="P11" s="31"/>
      <c r="Q11" s="32"/>
      <c r="R11" s="32"/>
    </row>
    <row r="12" spans="1:18" s="6" customFormat="1" ht="19.5" customHeight="1">
      <c r="A12" s="3"/>
      <c r="B12" s="3"/>
      <c r="C12" s="3"/>
      <c r="D12" s="47" t="e">
        <f>RANK(Q20,Q18:Q20)</f>
        <v>#VALUE!</v>
      </c>
      <c r="E12" s="99" t="s">
        <v>29</v>
      </c>
      <c r="F12" s="219" t="s">
        <v>23</v>
      </c>
      <c r="G12" s="219"/>
      <c r="H12" s="209">
        <f>H10</f>
      </c>
      <c r="I12" s="209"/>
      <c r="J12" s="209"/>
      <c r="K12" s="210">
        <f>IF(E7="","",E7)</f>
      </c>
      <c r="L12" s="210"/>
      <c r="M12" s="210"/>
      <c r="N12" s="30"/>
      <c r="O12" s="14" t="s">
        <v>0</v>
      </c>
      <c r="P12" s="31"/>
      <c r="Q12" s="32"/>
      <c r="R12" s="32"/>
    </row>
    <row r="13" spans="1:18" s="6" customFormat="1" ht="19.5" customHeight="1">
      <c r="A13" s="3"/>
      <c r="B13" s="3"/>
      <c r="C13" s="3"/>
      <c r="D13" s="47" t="e">
        <f>RANK(Q23,Q23:Q25)</f>
        <v>#VALUE!</v>
      </c>
      <c r="E13" s="99" t="s">
        <v>31</v>
      </c>
      <c r="F13" s="257" t="s">
        <v>24</v>
      </c>
      <c r="G13" s="258"/>
      <c r="H13" s="209">
        <f>H11</f>
      </c>
      <c r="I13" s="209"/>
      <c r="J13" s="209"/>
      <c r="K13" s="210">
        <f>IF(K7="","",K7)</f>
      </c>
      <c r="L13" s="210"/>
      <c r="M13" s="210"/>
      <c r="N13" s="30"/>
      <c r="O13" s="14" t="s">
        <v>0</v>
      </c>
      <c r="P13" s="31"/>
      <c r="Q13" s="32"/>
      <c r="R13" s="32"/>
    </row>
    <row r="14" spans="1:18" s="6" customFormat="1" ht="19.5" customHeight="1">
      <c r="A14" s="3"/>
      <c r="B14" s="3"/>
      <c r="C14" s="3"/>
      <c r="D14" s="47" t="e">
        <f>RANK(Q24,Q23:Q25)</f>
        <v>#VALUE!</v>
      </c>
      <c r="E14" s="99" t="s">
        <v>32</v>
      </c>
      <c r="F14" s="257" t="s">
        <v>25</v>
      </c>
      <c r="G14" s="258"/>
      <c r="H14" s="209">
        <f>K10</f>
      </c>
      <c r="I14" s="209"/>
      <c r="J14" s="209"/>
      <c r="K14" s="210">
        <f>K12</f>
      </c>
      <c r="L14" s="210"/>
      <c r="M14" s="210"/>
      <c r="N14" s="30"/>
      <c r="O14" s="14" t="s">
        <v>0</v>
      </c>
      <c r="P14" s="31"/>
      <c r="Q14" s="32"/>
      <c r="R14" s="32"/>
    </row>
    <row r="15" spans="1:18" s="6" customFormat="1" ht="19.5" customHeight="1" thickBot="1">
      <c r="A15" s="3"/>
      <c r="B15" s="3"/>
      <c r="C15" s="3"/>
      <c r="D15" s="47" t="e">
        <f>RANK(Q25,Q23:Q25)</f>
        <v>#VALUE!</v>
      </c>
      <c r="E15" s="102" t="s">
        <v>33</v>
      </c>
      <c r="F15" s="259" t="s">
        <v>26</v>
      </c>
      <c r="G15" s="260"/>
      <c r="H15" s="204">
        <f>K11</f>
      </c>
      <c r="I15" s="204"/>
      <c r="J15" s="204"/>
      <c r="K15" s="213">
        <f>K13</f>
      </c>
      <c r="L15" s="213"/>
      <c r="M15" s="213"/>
      <c r="N15" s="33"/>
      <c r="O15" s="25" t="s">
        <v>0</v>
      </c>
      <c r="P15" s="34"/>
      <c r="Q15" s="32"/>
      <c r="R15" s="32"/>
    </row>
    <row r="16" ht="19.5" customHeight="1" thickBot="1"/>
    <row r="17" spans="1:18" s="6" customFormat="1" ht="19.5" customHeight="1">
      <c r="A17" s="3"/>
      <c r="B17" s="195" t="s">
        <v>30</v>
      </c>
      <c r="C17" s="196"/>
      <c r="D17" s="197"/>
      <c r="E17" s="203">
        <f>H10</f>
      </c>
      <c r="F17" s="203"/>
      <c r="G17" s="203"/>
      <c r="H17" s="203">
        <f>K10</f>
      </c>
      <c r="I17" s="203"/>
      <c r="J17" s="203"/>
      <c r="K17" s="203">
        <f>K12</f>
      </c>
      <c r="L17" s="203"/>
      <c r="M17" s="203"/>
      <c r="N17" s="212" t="s">
        <v>1</v>
      </c>
      <c r="O17" s="212"/>
      <c r="P17" s="212"/>
      <c r="Q17" s="4" t="s">
        <v>2</v>
      </c>
      <c r="R17" s="5" t="s">
        <v>3</v>
      </c>
    </row>
    <row r="18" spans="1:18" s="6" customFormat="1" ht="19.5" customHeight="1">
      <c r="A18" s="3"/>
      <c r="B18" s="198">
        <f>E17</f>
      </c>
      <c r="C18" s="199"/>
      <c r="D18" s="199"/>
      <c r="E18" s="7">
        <f>IF(H18&gt;J18,R5,IF(H18=J18,R6,R7))</f>
        <v>1</v>
      </c>
      <c r="F18" s="9">
        <f>IF(K18&gt;M18,R5,IF(K18=M18,R6,R7))</f>
        <v>1</v>
      </c>
      <c r="G18" s="9" t="e">
        <f>0.001*(N18-P18)+0.00001*N18</f>
        <v>#VALUE!</v>
      </c>
      <c r="H18" s="10">
        <f>IF(P10="","",N10)</f>
      </c>
      <c r="I18" s="11" t="s">
        <v>0</v>
      </c>
      <c r="J18" s="12">
        <f>IF(P10="","",P10)</f>
      </c>
      <c r="K18" s="10">
        <f>IF(P12="","",N12)</f>
      </c>
      <c r="L18" s="11" t="s">
        <v>0</v>
      </c>
      <c r="M18" s="12">
        <f>IF(P12="","",P12)</f>
      </c>
      <c r="N18" s="13">
        <f>IF(P14="","",H18+K18)</f>
      </c>
      <c r="O18" s="14" t="s">
        <v>0</v>
      </c>
      <c r="P18" s="15">
        <f>IF(P14="","",J18+M18)</f>
      </c>
      <c r="Q18" s="16">
        <f>IF(P18="","",SUM(E18:G18))</f>
      </c>
      <c r="R18" s="17">
        <f>IF(Q18="","",D10&amp;".")</f>
      </c>
    </row>
    <row r="19" spans="1:18" s="6" customFormat="1" ht="19.5" customHeight="1">
      <c r="A19" s="3"/>
      <c r="B19" s="198">
        <f>H17</f>
      </c>
      <c r="C19" s="199"/>
      <c r="D19" s="199"/>
      <c r="E19" s="10">
        <f>J18</f>
      </c>
      <c r="F19" s="11" t="s">
        <v>0</v>
      </c>
      <c r="G19" s="12">
        <f>H18</f>
      </c>
      <c r="H19" s="7">
        <f>IF(E19&gt;G19,R5,IF(E19=G19,R6,R7))</f>
        <v>1</v>
      </c>
      <c r="I19" s="9">
        <f>IF(K19&gt;M19,R5,IF(K19=M19,R6,R7))</f>
        <v>1</v>
      </c>
      <c r="J19" s="9" t="e">
        <f>0.001*(N19-P19)+0.00001*N19</f>
        <v>#VALUE!</v>
      </c>
      <c r="K19" s="10">
        <f>IF(P14="","",N14)</f>
      </c>
      <c r="L19" s="11" t="s">
        <v>0</v>
      </c>
      <c r="M19" s="12">
        <f>IF(P14="","",P14)</f>
      </c>
      <c r="N19" s="13">
        <f>IF(P14="","",E19+K19)</f>
      </c>
      <c r="O19" s="14" t="s">
        <v>0</v>
      </c>
      <c r="P19" s="15">
        <f>IF(P14="","",G19+M19)</f>
      </c>
      <c r="Q19" s="16">
        <f>IF(P19="","",SUM(H19:J19))</f>
      </c>
      <c r="R19" s="17">
        <f>IF(Q19="","",D11&amp;".")</f>
      </c>
    </row>
    <row r="20" spans="1:18" s="6" customFormat="1" ht="19.5" customHeight="1" thickBot="1">
      <c r="A20" s="3"/>
      <c r="B20" s="200">
        <f>K17</f>
      </c>
      <c r="C20" s="201"/>
      <c r="D20" s="202"/>
      <c r="E20" s="18">
        <f>M18</f>
      </c>
      <c r="F20" s="19" t="s">
        <v>0</v>
      </c>
      <c r="G20" s="20">
        <f>K18</f>
      </c>
      <c r="H20" s="18">
        <f>M19</f>
      </c>
      <c r="I20" s="19" t="s">
        <v>0</v>
      </c>
      <c r="J20" s="20">
        <f>K19</f>
      </c>
      <c r="K20" s="21">
        <f>IF(E20&gt;G20,R5,IF(E20=G20,R6,R7))</f>
        <v>1</v>
      </c>
      <c r="L20" s="23">
        <f>IF(H20&gt;J20,R5,IF(H20=J20,R6,R7))</f>
        <v>1</v>
      </c>
      <c r="M20" s="23" t="e">
        <f>0.001*(N20-P20)+0.00001*N20</f>
        <v>#VALUE!</v>
      </c>
      <c r="N20" s="24">
        <f>IF(P14="","",E20+H20)</f>
      </c>
      <c r="O20" s="25" t="s">
        <v>0</v>
      </c>
      <c r="P20" s="26">
        <f>IF(P14="","",G20+J20)</f>
      </c>
      <c r="Q20" s="27">
        <f>IF(P20="","",SUM(K20:M20))</f>
      </c>
      <c r="R20" s="28">
        <f>IF(Q20="","",D12&amp;".")</f>
      </c>
    </row>
    <row r="21" ht="4.5" customHeight="1" thickBot="1"/>
    <row r="22" spans="1:18" s="6" customFormat="1" ht="19.5" customHeight="1">
      <c r="A22" s="3"/>
      <c r="B22" s="195" t="s">
        <v>34</v>
      </c>
      <c r="C22" s="196"/>
      <c r="D22" s="197"/>
      <c r="E22" s="203">
        <f>H11</f>
      </c>
      <c r="F22" s="203"/>
      <c r="G22" s="203"/>
      <c r="H22" s="203">
        <f>K11</f>
      </c>
      <c r="I22" s="203"/>
      <c r="J22" s="203"/>
      <c r="K22" s="203">
        <f>K13</f>
      </c>
      <c r="L22" s="203"/>
      <c r="M22" s="203"/>
      <c r="N22" s="212" t="s">
        <v>1</v>
      </c>
      <c r="O22" s="212"/>
      <c r="P22" s="212"/>
      <c r="Q22" s="4" t="s">
        <v>2</v>
      </c>
      <c r="R22" s="5" t="s">
        <v>3</v>
      </c>
    </row>
    <row r="23" spans="1:18" s="6" customFormat="1" ht="19.5" customHeight="1">
      <c r="A23" s="3"/>
      <c r="B23" s="198">
        <f>E22</f>
      </c>
      <c r="C23" s="199"/>
      <c r="D23" s="199"/>
      <c r="E23" s="7">
        <f>IF(H23&gt;J23,R5,IF(H23=J23,R6,R7))</f>
        <v>1</v>
      </c>
      <c r="F23" s="9">
        <f>IF(K23&gt;M23,R5,IF(K23=M23,R6,R7))</f>
        <v>1</v>
      </c>
      <c r="G23" s="9" t="e">
        <f>0.001*(N23-P23)+0.00001*N23</f>
        <v>#VALUE!</v>
      </c>
      <c r="H23" s="10">
        <f>IF(P11="","",N11)</f>
      </c>
      <c r="I23" s="11" t="s">
        <v>0</v>
      </c>
      <c r="J23" s="12">
        <f>IF(P11="","",P11)</f>
      </c>
      <c r="K23" s="10">
        <f>IF(P13="","",N13)</f>
      </c>
      <c r="L23" s="11" t="s">
        <v>0</v>
      </c>
      <c r="M23" s="12">
        <f>IF(P13="","",P13)</f>
      </c>
      <c r="N23" s="13">
        <f>IF(P15="","",H23+K23)</f>
      </c>
      <c r="O23" s="14" t="s">
        <v>0</v>
      </c>
      <c r="P23" s="15">
        <f>IF(P15="","",J23+M23)</f>
      </c>
      <c r="Q23" s="16">
        <f>IF(P23="","",SUM(E23:G23))</f>
      </c>
      <c r="R23" s="17">
        <f>IF(Q23="","",D13&amp;".")</f>
      </c>
    </row>
    <row r="24" spans="1:18" s="6" customFormat="1" ht="19.5" customHeight="1">
      <c r="A24" s="3"/>
      <c r="B24" s="198">
        <f>H22</f>
      </c>
      <c r="C24" s="199"/>
      <c r="D24" s="199"/>
      <c r="E24" s="10">
        <f>J23</f>
      </c>
      <c r="F24" s="11" t="s">
        <v>0</v>
      </c>
      <c r="G24" s="12">
        <f>H23</f>
      </c>
      <c r="H24" s="7">
        <f>IF(E24&gt;G24,R5,IF(E24=G24,R6,R7))</f>
        <v>1</v>
      </c>
      <c r="I24" s="9">
        <f>IF(K24&gt;M24,R5,IF(K24=M24,R6,R7))</f>
        <v>1</v>
      </c>
      <c r="J24" s="9" t="e">
        <f>0.001*(N24-P24)+0.00001*N24</f>
        <v>#VALUE!</v>
      </c>
      <c r="K24" s="10">
        <f>IF(P15="","",N15)</f>
      </c>
      <c r="L24" s="11" t="s">
        <v>0</v>
      </c>
      <c r="M24" s="12">
        <f>IF(P15="","",P15)</f>
      </c>
      <c r="N24" s="13">
        <f>IF(P15="","",E24+K24)</f>
      </c>
      <c r="O24" s="14" t="s">
        <v>0</v>
      </c>
      <c r="P24" s="15">
        <f>IF(P15="","",G24+M24)</f>
      </c>
      <c r="Q24" s="16">
        <f>IF(P24="","",SUM(H24:J24))</f>
      </c>
      <c r="R24" s="17">
        <f>IF(Q24="","",D14&amp;".")</f>
      </c>
    </row>
    <row r="25" spans="1:18" s="6" customFormat="1" ht="19.5" customHeight="1" thickBot="1">
      <c r="A25" s="3"/>
      <c r="B25" s="200">
        <f>K22</f>
      </c>
      <c r="C25" s="201"/>
      <c r="D25" s="202"/>
      <c r="E25" s="18">
        <f>M23</f>
      </c>
      <c r="F25" s="19" t="s">
        <v>0</v>
      </c>
      <c r="G25" s="20">
        <f>K23</f>
      </c>
      <c r="H25" s="18">
        <f>M24</f>
      </c>
      <c r="I25" s="19" t="s">
        <v>0</v>
      </c>
      <c r="J25" s="20">
        <f>K24</f>
      </c>
      <c r="K25" s="21">
        <f>IF(E25&gt;G25,R5,IF(E25=G25,R6,R7))</f>
        <v>1</v>
      </c>
      <c r="L25" s="23">
        <f>IF(H25&gt;J25,R5,IF(H25=J25,R6,R7))</f>
        <v>1</v>
      </c>
      <c r="M25" s="23" t="e">
        <f>0.001*(N25-P25)+0.00001*N25</f>
        <v>#VALUE!</v>
      </c>
      <c r="N25" s="24">
        <f>IF(P15="","",E25+H25)</f>
      </c>
      <c r="O25" s="25" t="s">
        <v>0</v>
      </c>
      <c r="P25" s="26">
        <f>IF(P15="","",G25+J25)</f>
      </c>
      <c r="Q25" s="27">
        <f>IF(P25="","",SUM(K25:M25))</f>
      </c>
      <c r="R25" s="28">
        <f>IF(Q25="","",D15&amp;".")</f>
      </c>
    </row>
    <row r="26" ht="19.5" customHeight="1" thickBot="1"/>
    <row r="27" spans="1:18" s="6" customFormat="1" ht="19.5" customHeight="1">
      <c r="A27" s="3"/>
      <c r="B27" s="3"/>
      <c r="C27" s="3"/>
      <c r="D27" s="29"/>
      <c r="E27" s="229" t="s">
        <v>36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1"/>
      <c r="Q27" s="29"/>
      <c r="R27" s="29"/>
    </row>
    <row r="28" spans="1:18" s="6" customFormat="1" ht="19.5" customHeight="1">
      <c r="A28" s="3"/>
      <c r="B28" s="3"/>
      <c r="C28" s="3"/>
      <c r="D28" s="29"/>
      <c r="E28" s="99" t="s">
        <v>37</v>
      </c>
      <c r="F28" s="219" t="s">
        <v>129</v>
      </c>
      <c r="G28" s="219"/>
      <c r="H28" s="209">
        <f>IF(P14="","",INDEX(E5:E7,Q28))</f>
      </c>
      <c r="I28" s="209"/>
      <c r="J28" s="209"/>
      <c r="K28" s="210">
        <f>IF(P15="","",INDEX(K5:K7,R28))</f>
      </c>
      <c r="L28" s="210"/>
      <c r="M28" s="210"/>
      <c r="N28" s="39"/>
      <c r="O28" s="14" t="s">
        <v>0</v>
      </c>
      <c r="P28" s="31"/>
      <c r="Q28" s="48" t="e">
        <f>MATCH(3,D10:D12,0)</f>
        <v>#N/A</v>
      </c>
      <c r="R28" s="49" t="e">
        <f>MATCH(3,D13:D15,0)</f>
        <v>#N/A</v>
      </c>
    </row>
    <row r="29" spans="1:18" s="6" customFormat="1" ht="19.5" customHeight="1">
      <c r="A29" s="3"/>
      <c r="B29" s="3"/>
      <c r="C29" s="3"/>
      <c r="D29" s="29"/>
      <c r="E29" s="99" t="s">
        <v>38</v>
      </c>
      <c r="F29" s="219" t="s">
        <v>41</v>
      </c>
      <c r="G29" s="219"/>
      <c r="H29" s="209">
        <f>IF(P14="","",INDEX(E5:E7,Q29))</f>
      </c>
      <c r="I29" s="209"/>
      <c r="J29" s="209"/>
      <c r="K29" s="210">
        <f>IF(P15="","",INDEX(K5:K7,R29))</f>
      </c>
      <c r="L29" s="210"/>
      <c r="M29" s="210"/>
      <c r="N29" s="39"/>
      <c r="O29" s="14" t="s">
        <v>0</v>
      </c>
      <c r="P29" s="31"/>
      <c r="Q29" s="48" t="e">
        <f>MATCH(1,D10:D12,0)</f>
        <v>#N/A</v>
      </c>
      <c r="R29" s="49" t="e">
        <f>MATCH(2,D13:D15,0)</f>
        <v>#N/A</v>
      </c>
    </row>
    <row r="30" spans="1:18" s="6" customFormat="1" ht="19.5" customHeight="1">
      <c r="A30" s="3"/>
      <c r="B30" s="3"/>
      <c r="C30" s="3"/>
      <c r="D30" s="29"/>
      <c r="E30" s="99" t="s">
        <v>39</v>
      </c>
      <c r="F30" s="219" t="s">
        <v>42</v>
      </c>
      <c r="G30" s="219"/>
      <c r="H30" s="209">
        <f>IF(P14="","",INDEX(E5:E7,Q30))</f>
      </c>
      <c r="I30" s="209"/>
      <c r="J30" s="209"/>
      <c r="K30" s="210">
        <f>IF(P15="","",INDEX(K5:K7,R30))</f>
      </c>
      <c r="L30" s="210"/>
      <c r="M30" s="210"/>
      <c r="N30" s="30"/>
      <c r="O30" s="14" t="s">
        <v>0</v>
      </c>
      <c r="P30" s="31"/>
      <c r="Q30" s="48" t="e">
        <f>MATCH(2,D10:D12,0)</f>
        <v>#N/A</v>
      </c>
      <c r="R30" s="49" t="e">
        <f>MATCH(1,D13:D15,0)</f>
        <v>#N/A</v>
      </c>
    </row>
    <row r="31" spans="1:18" s="6" customFormat="1" ht="19.5" customHeight="1">
      <c r="A31" s="3"/>
      <c r="B31" s="3"/>
      <c r="C31" s="3"/>
      <c r="D31" s="29"/>
      <c r="E31" s="99" t="s">
        <v>44</v>
      </c>
      <c r="F31" s="266" t="s">
        <v>43</v>
      </c>
      <c r="G31" s="267"/>
      <c r="H31" s="209">
        <f>IF(P29="","",IF(N29&gt;P29,K29,H29))</f>
      </c>
      <c r="I31" s="209"/>
      <c r="J31" s="209"/>
      <c r="K31" s="210">
        <f>IF(P30="","",IF(N30&gt;P30,K30,H30))</f>
      </c>
      <c r="L31" s="210"/>
      <c r="M31" s="210"/>
      <c r="N31" s="30"/>
      <c r="O31" s="14" t="s">
        <v>0</v>
      </c>
      <c r="P31" s="31"/>
      <c r="Q31" s="46"/>
      <c r="R31" s="46"/>
    </row>
    <row r="32" spans="1:18" s="6" customFormat="1" ht="19.5" customHeight="1" thickBot="1">
      <c r="A32" s="3"/>
      <c r="B32" s="3"/>
      <c r="C32" s="3"/>
      <c r="D32" s="29"/>
      <c r="E32" s="102" t="s">
        <v>45</v>
      </c>
      <c r="F32" s="261" t="s">
        <v>46</v>
      </c>
      <c r="G32" s="262"/>
      <c r="H32" s="204">
        <f>IF(P29="","",IF(N29&gt;P29,H29,K29))</f>
      </c>
      <c r="I32" s="204"/>
      <c r="J32" s="204"/>
      <c r="K32" s="213">
        <f>IF(P30="","",IF(N30&gt;P30,H30,K30))</f>
      </c>
      <c r="L32" s="213"/>
      <c r="M32" s="213"/>
      <c r="N32" s="33"/>
      <c r="O32" s="25" t="s">
        <v>0</v>
      </c>
      <c r="P32" s="34"/>
      <c r="Q32" s="46"/>
      <c r="R32" s="46"/>
    </row>
    <row r="33" ht="19.5" customHeight="1" thickBot="1"/>
    <row r="34" spans="1:18" s="6" customFormat="1" ht="19.5" customHeight="1">
      <c r="A34" s="3"/>
      <c r="B34" s="3"/>
      <c r="C34" s="3"/>
      <c r="D34" s="29"/>
      <c r="E34" s="29"/>
      <c r="F34" s="29"/>
      <c r="G34" s="229" t="s">
        <v>47</v>
      </c>
      <c r="H34" s="230"/>
      <c r="I34" s="230"/>
      <c r="J34" s="231"/>
      <c r="K34" s="29"/>
      <c r="L34" s="29"/>
      <c r="M34" s="29"/>
      <c r="N34" s="29"/>
      <c r="O34" s="29"/>
      <c r="P34" s="29"/>
      <c r="Q34" s="29"/>
      <c r="R34" s="29"/>
    </row>
    <row r="35" spans="7:10" ht="19.5" customHeight="1">
      <c r="G35" s="99" t="s">
        <v>27</v>
      </c>
      <c r="H35" s="210">
        <f>IF(P32="","",IF(N32&gt;P32,H32,K32))</f>
      </c>
      <c r="I35" s="210"/>
      <c r="J35" s="263"/>
    </row>
    <row r="36" spans="7:10" ht="19.5" customHeight="1">
      <c r="G36" s="99" t="s">
        <v>28</v>
      </c>
      <c r="H36" s="210">
        <f>IF(P32="","",IF(N32&gt;P32,K32,H32))</f>
      </c>
      <c r="I36" s="210"/>
      <c r="J36" s="263"/>
    </row>
    <row r="37" spans="7:10" ht="19.5" customHeight="1">
      <c r="G37" s="99" t="s">
        <v>29</v>
      </c>
      <c r="H37" s="210">
        <f>IF(P31="","",IF(N31&gt;P31,H31,K31))</f>
      </c>
      <c r="I37" s="210"/>
      <c r="J37" s="263"/>
    </row>
    <row r="38" spans="7:10" ht="19.5" customHeight="1">
      <c r="G38" s="99" t="s">
        <v>31</v>
      </c>
      <c r="H38" s="210">
        <f>IF(P31="","",IF(N31&gt;P31,K31,H31))</f>
      </c>
      <c r="I38" s="210"/>
      <c r="J38" s="263"/>
    </row>
    <row r="39" spans="7:10" ht="19.5" customHeight="1">
      <c r="G39" s="99" t="s">
        <v>32</v>
      </c>
      <c r="H39" s="210">
        <f>IF(P28="","",IF(N28&gt;P28,H28,K28))</f>
      </c>
      <c r="I39" s="210"/>
      <c r="J39" s="263"/>
    </row>
    <row r="40" spans="7:10" ht="19.5" customHeight="1" thickBot="1">
      <c r="G40" s="102" t="s">
        <v>33</v>
      </c>
      <c r="H40" s="213">
        <f>IF(P28="","",IF(N28&gt;P28,K28,H28))</f>
      </c>
      <c r="I40" s="213"/>
      <c r="J40" s="264"/>
    </row>
  </sheetData>
  <sheetProtection sheet="1" objects="1" scenarios="1"/>
  <mergeCells count="72">
    <mergeCell ref="H39:J39"/>
    <mergeCell ref="H40:J40"/>
    <mergeCell ref="G34:J34"/>
    <mergeCell ref="D2:R2"/>
    <mergeCell ref="H35:J35"/>
    <mergeCell ref="H36:J36"/>
    <mergeCell ref="H37:J37"/>
    <mergeCell ref="H38:J38"/>
    <mergeCell ref="F31:G31"/>
    <mergeCell ref="H31:J31"/>
    <mergeCell ref="F30:G30"/>
    <mergeCell ref="H30:J30"/>
    <mergeCell ref="K30:M30"/>
    <mergeCell ref="K31:M31"/>
    <mergeCell ref="F32:G32"/>
    <mergeCell ref="H32:J32"/>
    <mergeCell ref="K32:M32"/>
    <mergeCell ref="E27:P27"/>
    <mergeCell ref="F28:G28"/>
    <mergeCell ref="H28:J28"/>
    <mergeCell ref="K28:M28"/>
    <mergeCell ref="F29:G29"/>
    <mergeCell ref="H29:J29"/>
    <mergeCell ref="K29:M29"/>
    <mergeCell ref="H22:J22"/>
    <mergeCell ref="K22:M22"/>
    <mergeCell ref="F13:G13"/>
    <mergeCell ref="F14:G14"/>
    <mergeCell ref="F15:G15"/>
    <mergeCell ref="H13:J13"/>
    <mergeCell ref="N22:P22"/>
    <mergeCell ref="H15:J15"/>
    <mergeCell ref="K15:M15"/>
    <mergeCell ref="E5:G5"/>
    <mergeCell ref="E6:G6"/>
    <mergeCell ref="K5:M5"/>
    <mergeCell ref="K6:M6"/>
    <mergeCell ref="K7:M7"/>
    <mergeCell ref="F12:G12"/>
    <mergeCell ref="F11:G11"/>
    <mergeCell ref="O5:Q5"/>
    <mergeCell ref="O6:Q6"/>
    <mergeCell ref="F10:G10"/>
    <mergeCell ref="E9:P9"/>
    <mergeCell ref="H10:J10"/>
    <mergeCell ref="K10:M10"/>
    <mergeCell ref="D1:R1"/>
    <mergeCell ref="E7:G7"/>
    <mergeCell ref="K17:M17"/>
    <mergeCell ref="N17:P17"/>
    <mergeCell ref="K12:M12"/>
    <mergeCell ref="E17:G17"/>
    <mergeCell ref="H17:J17"/>
    <mergeCell ref="H12:J12"/>
    <mergeCell ref="O7:Q7"/>
    <mergeCell ref="O4:R4"/>
    <mergeCell ref="D4:G4"/>
    <mergeCell ref="J4:M4"/>
    <mergeCell ref="B22:D22"/>
    <mergeCell ref="B23:D23"/>
    <mergeCell ref="H11:J11"/>
    <mergeCell ref="K11:M11"/>
    <mergeCell ref="K13:M13"/>
    <mergeCell ref="H14:J14"/>
    <mergeCell ref="K14:M14"/>
    <mergeCell ref="E22:G22"/>
    <mergeCell ref="B24:D24"/>
    <mergeCell ref="B25:D25"/>
    <mergeCell ref="B17:D17"/>
    <mergeCell ref="B18:D18"/>
    <mergeCell ref="B19:D19"/>
    <mergeCell ref="B20:D20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38"/>
  <sheetViews>
    <sheetView showGridLines="0" zoomScalePageLayoutView="0" workbookViewId="0" topLeftCell="A1">
      <selection activeCell="E5" sqref="E5:G5"/>
    </sheetView>
  </sheetViews>
  <sheetFormatPr defaultColWidth="9.140625" defaultRowHeight="12.75"/>
  <cols>
    <col min="1" max="1" width="0.85546875" style="1" customWidth="1"/>
    <col min="2" max="2" width="6.7109375" style="3" customWidth="1"/>
    <col min="3" max="3" width="1.7109375" style="3" customWidth="1"/>
    <col min="4" max="5" width="6.7109375" style="29" customWidth="1"/>
    <col min="6" max="6" width="1.7109375" style="29" customWidth="1"/>
    <col min="7" max="8" width="6.7109375" style="29" customWidth="1"/>
    <col min="9" max="9" width="1.7109375" style="29" customWidth="1"/>
    <col min="10" max="11" width="6.7109375" style="29" customWidth="1"/>
    <col min="12" max="12" width="1.7109375" style="29" customWidth="1"/>
    <col min="13" max="13" width="6.7109375" style="29" customWidth="1"/>
    <col min="14" max="14" width="4.7109375" style="29" customWidth="1"/>
    <col min="15" max="15" width="1.7109375" style="29" customWidth="1"/>
    <col min="16" max="16" width="4.7109375" style="29" customWidth="1"/>
    <col min="17" max="18" width="6.7109375" style="29" customWidth="1"/>
  </cols>
  <sheetData>
    <row r="1" spans="4:18" ht="33.75">
      <c r="D1" s="254" t="s">
        <v>14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4:18" ht="15.75">
      <c r="D2" s="265" t="s">
        <v>49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ht="15.75" customHeight="1" thickBot="1"/>
    <row r="4" spans="1:18" s="6" customFormat="1" ht="19.5" customHeight="1">
      <c r="A4" s="3"/>
      <c r="B4" s="3"/>
      <c r="D4" s="229" t="s">
        <v>4</v>
      </c>
      <c r="E4" s="230"/>
      <c r="F4" s="230"/>
      <c r="G4" s="231"/>
      <c r="J4" s="229" t="s">
        <v>4</v>
      </c>
      <c r="K4" s="230"/>
      <c r="L4" s="230"/>
      <c r="M4" s="231"/>
      <c r="O4" s="227" t="s">
        <v>5</v>
      </c>
      <c r="P4" s="212"/>
      <c r="Q4" s="212"/>
      <c r="R4" s="228"/>
    </row>
    <row r="5" spans="1:18" s="6" customFormat="1" ht="19.5" customHeight="1">
      <c r="A5" s="3"/>
      <c r="B5" s="3"/>
      <c r="D5" s="125" t="s">
        <v>15</v>
      </c>
      <c r="E5" s="222"/>
      <c r="F5" s="222"/>
      <c r="G5" s="223"/>
      <c r="J5" s="160" t="s">
        <v>17</v>
      </c>
      <c r="K5" s="255"/>
      <c r="L5" s="255"/>
      <c r="M5" s="256"/>
      <c r="O5" s="220" t="s">
        <v>6</v>
      </c>
      <c r="P5" s="221"/>
      <c r="Q5" s="221"/>
      <c r="R5" s="35">
        <v>3</v>
      </c>
    </row>
    <row r="6" spans="1:18" s="6" customFormat="1" ht="19.5" customHeight="1">
      <c r="A6" s="3"/>
      <c r="B6" s="3"/>
      <c r="D6" s="125" t="s">
        <v>16</v>
      </c>
      <c r="E6" s="222"/>
      <c r="F6" s="222"/>
      <c r="G6" s="223"/>
      <c r="J6" s="125" t="s">
        <v>19</v>
      </c>
      <c r="K6" s="222"/>
      <c r="L6" s="222"/>
      <c r="M6" s="223"/>
      <c r="O6" s="220" t="s">
        <v>7</v>
      </c>
      <c r="P6" s="221"/>
      <c r="Q6" s="221"/>
      <c r="R6" s="35">
        <v>1</v>
      </c>
    </row>
    <row r="7" spans="1:18" s="6" customFormat="1" ht="19.5" customHeight="1" thickBot="1">
      <c r="A7" s="3"/>
      <c r="B7" s="3"/>
      <c r="D7" s="138" t="s">
        <v>18</v>
      </c>
      <c r="E7" s="207"/>
      <c r="F7" s="207"/>
      <c r="G7" s="208"/>
      <c r="J7" s="138" t="s">
        <v>20</v>
      </c>
      <c r="K7" s="207"/>
      <c r="L7" s="207"/>
      <c r="M7" s="208"/>
      <c r="O7" s="205" t="s">
        <v>8</v>
      </c>
      <c r="P7" s="206"/>
      <c r="Q7" s="206"/>
      <c r="R7" s="36">
        <v>0</v>
      </c>
    </row>
    <row r="8" ht="19.5" customHeight="1" thickBot="1"/>
    <row r="9" spans="1:18" s="6" customFormat="1" ht="19.5" customHeight="1">
      <c r="A9" s="3"/>
      <c r="B9" s="3"/>
      <c r="C9" s="3"/>
      <c r="D9" s="29"/>
      <c r="E9" s="229" t="s">
        <v>35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1"/>
      <c r="Q9" s="29"/>
      <c r="R9" s="29"/>
    </row>
    <row r="10" spans="1:18" s="6" customFormat="1" ht="19.5" customHeight="1">
      <c r="A10" s="3"/>
      <c r="B10" s="3"/>
      <c r="C10" s="3"/>
      <c r="D10" s="47" t="e">
        <f>RANK(Q18,Q18:Q20)</f>
        <v>#VALUE!</v>
      </c>
      <c r="E10" s="99" t="s">
        <v>27</v>
      </c>
      <c r="F10" s="219" t="s">
        <v>21</v>
      </c>
      <c r="G10" s="219"/>
      <c r="H10" s="209">
        <f>IF(E5="","",E5)</f>
      </c>
      <c r="I10" s="209"/>
      <c r="J10" s="209"/>
      <c r="K10" s="210">
        <f>IF(E6="","",E6)</f>
      </c>
      <c r="L10" s="210"/>
      <c r="M10" s="210"/>
      <c r="N10" s="30"/>
      <c r="O10" s="14" t="s">
        <v>0</v>
      </c>
      <c r="P10" s="31"/>
      <c r="Q10" s="32"/>
      <c r="R10" s="32"/>
    </row>
    <row r="11" spans="1:18" s="6" customFormat="1" ht="19.5" customHeight="1">
      <c r="A11" s="3"/>
      <c r="B11" s="3"/>
      <c r="C11" s="3"/>
      <c r="D11" s="47" t="e">
        <f>RANK(Q19,Q18:Q20)</f>
        <v>#VALUE!</v>
      </c>
      <c r="E11" s="99" t="s">
        <v>28</v>
      </c>
      <c r="F11" s="219" t="s">
        <v>22</v>
      </c>
      <c r="G11" s="219"/>
      <c r="H11" s="209">
        <f>IF(K5="","",K5)</f>
      </c>
      <c r="I11" s="209"/>
      <c r="J11" s="209"/>
      <c r="K11" s="210">
        <f>IF(K6="","",K6)</f>
      </c>
      <c r="L11" s="210"/>
      <c r="M11" s="210"/>
      <c r="N11" s="39"/>
      <c r="O11" s="14" t="s">
        <v>0</v>
      </c>
      <c r="P11" s="31"/>
      <c r="Q11" s="32"/>
      <c r="R11" s="32"/>
    </row>
    <row r="12" spans="1:18" s="6" customFormat="1" ht="19.5" customHeight="1">
      <c r="A12" s="3"/>
      <c r="B12" s="3"/>
      <c r="C12" s="3"/>
      <c r="D12" s="47" t="e">
        <f>RANK(Q20,Q18:Q20)</f>
        <v>#VALUE!</v>
      </c>
      <c r="E12" s="99" t="s">
        <v>29</v>
      </c>
      <c r="F12" s="219" t="s">
        <v>23</v>
      </c>
      <c r="G12" s="219"/>
      <c r="H12" s="209">
        <f>H10</f>
      </c>
      <c r="I12" s="209"/>
      <c r="J12" s="209"/>
      <c r="K12" s="210">
        <f>IF(E7="","",E7)</f>
      </c>
      <c r="L12" s="210"/>
      <c r="M12" s="210"/>
      <c r="N12" s="30"/>
      <c r="O12" s="14" t="s">
        <v>0</v>
      </c>
      <c r="P12" s="31"/>
      <c r="Q12" s="32"/>
      <c r="R12" s="32"/>
    </row>
    <row r="13" spans="1:18" s="6" customFormat="1" ht="19.5" customHeight="1">
      <c r="A13" s="3"/>
      <c r="B13" s="3"/>
      <c r="C13" s="3"/>
      <c r="D13" s="47" t="e">
        <f>RANK(Q23,Q23:Q25)</f>
        <v>#VALUE!</v>
      </c>
      <c r="E13" s="99" t="s">
        <v>31</v>
      </c>
      <c r="F13" s="257" t="s">
        <v>24</v>
      </c>
      <c r="G13" s="258"/>
      <c r="H13" s="209">
        <f>H11</f>
      </c>
      <c r="I13" s="209"/>
      <c r="J13" s="209"/>
      <c r="K13" s="210">
        <f>IF(K7="","",K7)</f>
      </c>
      <c r="L13" s="210"/>
      <c r="M13" s="210"/>
      <c r="N13" s="30"/>
      <c r="O13" s="14" t="s">
        <v>0</v>
      </c>
      <c r="P13" s="31"/>
      <c r="Q13" s="32"/>
      <c r="R13" s="32"/>
    </row>
    <row r="14" spans="1:18" s="6" customFormat="1" ht="19.5" customHeight="1">
      <c r="A14" s="3"/>
      <c r="B14" s="3"/>
      <c r="C14" s="3"/>
      <c r="D14" s="47" t="e">
        <f>RANK(Q24,Q23:Q25)</f>
        <v>#VALUE!</v>
      </c>
      <c r="E14" s="99" t="s">
        <v>32</v>
      </c>
      <c r="F14" s="257" t="s">
        <v>25</v>
      </c>
      <c r="G14" s="258"/>
      <c r="H14" s="209">
        <f>K10</f>
      </c>
      <c r="I14" s="209"/>
      <c r="J14" s="209"/>
      <c r="K14" s="210">
        <f>K12</f>
      </c>
      <c r="L14" s="210"/>
      <c r="M14" s="210"/>
      <c r="N14" s="30"/>
      <c r="O14" s="14" t="s">
        <v>0</v>
      </c>
      <c r="P14" s="31"/>
      <c r="Q14" s="32"/>
      <c r="R14" s="32"/>
    </row>
    <row r="15" spans="1:18" s="6" customFormat="1" ht="19.5" customHeight="1" thickBot="1">
      <c r="A15" s="3"/>
      <c r="B15" s="3"/>
      <c r="C15" s="3"/>
      <c r="D15" s="47" t="e">
        <f>RANK(Q25,Q23:Q25)</f>
        <v>#VALUE!</v>
      </c>
      <c r="E15" s="102" t="s">
        <v>33</v>
      </c>
      <c r="F15" s="259" t="s">
        <v>26</v>
      </c>
      <c r="G15" s="260"/>
      <c r="H15" s="204">
        <f>K11</f>
      </c>
      <c r="I15" s="204"/>
      <c r="J15" s="204"/>
      <c r="K15" s="213">
        <f>K13</f>
      </c>
      <c r="L15" s="213"/>
      <c r="M15" s="213"/>
      <c r="N15" s="33"/>
      <c r="O15" s="25" t="s">
        <v>0</v>
      </c>
      <c r="P15" s="34"/>
      <c r="Q15" s="32"/>
      <c r="R15" s="32"/>
    </row>
    <row r="16" ht="19.5" customHeight="1" thickBot="1"/>
    <row r="17" spans="1:18" s="6" customFormat="1" ht="19.5" customHeight="1">
      <c r="A17" s="3"/>
      <c r="B17" s="195" t="s">
        <v>30</v>
      </c>
      <c r="C17" s="196"/>
      <c r="D17" s="197"/>
      <c r="E17" s="203">
        <f>H10</f>
      </c>
      <c r="F17" s="203"/>
      <c r="G17" s="203"/>
      <c r="H17" s="203">
        <f>K10</f>
      </c>
      <c r="I17" s="203"/>
      <c r="J17" s="203"/>
      <c r="K17" s="203">
        <f>K12</f>
      </c>
      <c r="L17" s="203"/>
      <c r="M17" s="203"/>
      <c r="N17" s="212" t="s">
        <v>1</v>
      </c>
      <c r="O17" s="212"/>
      <c r="P17" s="212"/>
      <c r="Q17" s="4" t="s">
        <v>2</v>
      </c>
      <c r="R17" s="5" t="s">
        <v>3</v>
      </c>
    </row>
    <row r="18" spans="1:18" s="6" customFormat="1" ht="19.5" customHeight="1">
      <c r="A18" s="3"/>
      <c r="B18" s="198">
        <f>E17</f>
      </c>
      <c r="C18" s="199"/>
      <c r="D18" s="199"/>
      <c r="E18" s="7">
        <f>IF(H18&gt;J18,R5,IF(H18=J18,R6,R7))</f>
        <v>1</v>
      </c>
      <c r="F18" s="9">
        <f>IF(K18&gt;M18,R5,IF(K18=M18,R6,R7))</f>
        <v>1</v>
      </c>
      <c r="G18" s="9" t="e">
        <f>0.001*(N18-P18)+0.00001*N18</f>
        <v>#VALUE!</v>
      </c>
      <c r="H18" s="10">
        <f>IF(P10="","",N10)</f>
      </c>
      <c r="I18" s="11" t="s">
        <v>0</v>
      </c>
      <c r="J18" s="12">
        <f>IF(P10="","",P10)</f>
      </c>
      <c r="K18" s="10">
        <f>IF(P12="","",N12)</f>
      </c>
      <c r="L18" s="11" t="s">
        <v>0</v>
      </c>
      <c r="M18" s="12">
        <f>IF(P12="","",P12)</f>
      </c>
      <c r="N18" s="13">
        <f>IF(P14="","",H18+K18)</f>
      </c>
      <c r="O18" s="14" t="s">
        <v>0</v>
      </c>
      <c r="P18" s="15">
        <f>IF(P14="","",J18+M18)</f>
      </c>
      <c r="Q18" s="16">
        <f>IF(P18="","",SUM(E18:G18))</f>
      </c>
      <c r="R18" s="17">
        <f>IF(Q18="","",D10&amp;".")</f>
      </c>
    </row>
    <row r="19" spans="1:18" s="6" customFormat="1" ht="19.5" customHeight="1">
      <c r="A19" s="3"/>
      <c r="B19" s="198">
        <f>H17</f>
      </c>
      <c r="C19" s="199"/>
      <c r="D19" s="199"/>
      <c r="E19" s="10">
        <f>J18</f>
      </c>
      <c r="F19" s="11" t="s">
        <v>0</v>
      </c>
      <c r="G19" s="12">
        <f>H18</f>
      </c>
      <c r="H19" s="7">
        <f>IF(E19&gt;G19,R5,IF(E19=G19,R6,R7))</f>
        <v>1</v>
      </c>
      <c r="I19" s="9">
        <f>IF(K19&gt;M19,R5,IF(K19=M19,R6,R7))</f>
        <v>1</v>
      </c>
      <c r="J19" s="9" t="e">
        <f>0.001*(N19-P19)+0.00001*N19</f>
        <v>#VALUE!</v>
      </c>
      <c r="K19" s="10">
        <f>IF(P14="","",N14)</f>
      </c>
      <c r="L19" s="11" t="s">
        <v>0</v>
      </c>
      <c r="M19" s="12">
        <f>IF(P14="","",P14)</f>
      </c>
      <c r="N19" s="13">
        <f>IF(P14="","",E19+K19)</f>
      </c>
      <c r="O19" s="14" t="s">
        <v>0</v>
      </c>
      <c r="P19" s="15">
        <f>IF(P14="","",G19+M19)</f>
      </c>
      <c r="Q19" s="16">
        <f>IF(P19="","",SUM(H19:J19))</f>
      </c>
      <c r="R19" s="17">
        <f>IF(Q19="","",D11&amp;".")</f>
      </c>
    </row>
    <row r="20" spans="1:18" s="6" customFormat="1" ht="19.5" customHeight="1" thickBot="1">
      <c r="A20" s="3"/>
      <c r="B20" s="200">
        <f>K17</f>
      </c>
      <c r="C20" s="201"/>
      <c r="D20" s="202"/>
      <c r="E20" s="18">
        <f>M18</f>
      </c>
      <c r="F20" s="19" t="s">
        <v>0</v>
      </c>
      <c r="G20" s="20">
        <f>K18</f>
      </c>
      <c r="H20" s="18">
        <f>M19</f>
      </c>
      <c r="I20" s="19" t="s">
        <v>0</v>
      </c>
      <c r="J20" s="20">
        <f>K19</f>
      </c>
      <c r="K20" s="21">
        <f>IF(E20&gt;G20,R5,IF(E20=G20,R6,R7))</f>
        <v>1</v>
      </c>
      <c r="L20" s="23">
        <f>IF(H20&gt;J20,R5,IF(H20=J20,R6,R7))</f>
        <v>1</v>
      </c>
      <c r="M20" s="23" t="e">
        <f>0.001*(N20-P20)+0.00001*N20</f>
        <v>#VALUE!</v>
      </c>
      <c r="N20" s="24">
        <f>IF(P14="","",E20+H20)</f>
      </c>
      <c r="O20" s="25" t="s">
        <v>0</v>
      </c>
      <c r="P20" s="26">
        <f>IF(P14="","",G20+J20)</f>
      </c>
      <c r="Q20" s="27">
        <f>IF(P20="","",SUM(K20:M20))</f>
      </c>
      <c r="R20" s="28">
        <f>IF(Q20="","",D12&amp;".")</f>
      </c>
    </row>
    <row r="21" ht="4.5" customHeight="1" thickBot="1"/>
    <row r="22" spans="1:18" s="6" customFormat="1" ht="19.5" customHeight="1">
      <c r="A22" s="3"/>
      <c r="B22" s="195" t="s">
        <v>34</v>
      </c>
      <c r="C22" s="196"/>
      <c r="D22" s="197"/>
      <c r="E22" s="203">
        <f>H11</f>
      </c>
      <c r="F22" s="203"/>
      <c r="G22" s="203"/>
      <c r="H22" s="203">
        <f>K11</f>
      </c>
      <c r="I22" s="203"/>
      <c r="J22" s="203"/>
      <c r="K22" s="203">
        <f>K13</f>
      </c>
      <c r="L22" s="203"/>
      <c r="M22" s="203"/>
      <c r="N22" s="212" t="s">
        <v>1</v>
      </c>
      <c r="O22" s="212"/>
      <c r="P22" s="212"/>
      <c r="Q22" s="4" t="s">
        <v>2</v>
      </c>
      <c r="R22" s="5" t="s">
        <v>3</v>
      </c>
    </row>
    <row r="23" spans="1:18" s="6" customFormat="1" ht="19.5" customHeight="1">
      <c r="A23" s="3"/>
      <c r="B23" s="198">
        <f>E22</f>
      </c>
      <c r="C23" s="199"/>
      <c r="D23" s="199"/>
      <c r="E23" s="7">
        <f>IF(H23&gt;J23,R5,IF(H23=J23,R6,R7))</f>
        <v>1</v>
      </c>
      <c r="F23" s="9">
        <f>IF(K23&gt;M23,R5,IF(K23=M23,R6,R7))</f>
        <v>1</v>
      </c>
      <c r="G23" s="9" t="e">
        <f>0.001*(N23-P23)+0.00001*N23</f>
        <v>#VALUE!</v>
      </c>
      <c r="H23" s="10">
        <f>IF(P11="","",N11)</f>
      </c>
      <c r="I23" s="11" t="s">
        <v>0</v>
      </c>
      <c r="J23" s="12">
        <f>IF(P11="","",P11)</f>
      </c>
      <c r="K23" s="10">
        <f>IF(P13="","",N13)</f>
      </c>
      <c r="L23" s="11" t="s">
        <v>0</v>
      </c>
      <c r="M23" s="12">
        <f>IF(P13="","",P13)</f>
      </c>
      <c r="N23" s="13">
        <f>IF(P15="","",H23+K23)</f>
      </c>
      <c r="O23" s="14" t="s">
        <v>0</v>
      </c>
      <c r="P23" s="15">
        <f>IF(P15="","",J23+M23)</f>
      </c>
      <c r="Q23" s="16">
        <f>IF(P23="","",SUM(E23:G23))</f>
      </c>
      <c r="R23" s="17">
        <f>IF(Q23="","",D13&amp;".")</f>
      </c>
    </row>
    <row r="24" spans="1:18" s="6" customFormat="1" ht="19.5" customHeight="1">
      <c r="A24" s="3"/>
      <c r="B24" s="198">
        <f>H22</f>
      </c>
      <c r="C24" s="199"/>
      <c r="D24" s="199"/>
      <c r="E24" s="10">
        <f>J23</f>
      </c>
      <c r="F24" s="11" t="s">
        <v>0</v>
      </c>
      <c r="G24" s="12">
        <f>H23</f>
      </c>
      <c r="H24" s="7">
        <f>IF(E24&gt;G24,R5,IF(E24=G24,R6,R7))</f>
        <v>1</v>
      </c>
      <c r="I24" s="9">
        <f>IF(K24&gt;M24,R5,IF(K24=M24,R6,R7))</f>
        <v>1</v>
      </c>
      <c r="J24" s="9" t="e">
        <f>0.001*(N24-P24)+0.00001*N24</f>
        <v>#VALUE!</v>
      </c>
      <c r="K24" s="10">
        <f>IF(P15="","",N15)</f>
      </c>
      <c r="L24" s="11" t="s">
        <v>0</v>
      </c>
      <c r="M24" s="12">
        <f>IF(P15="","",P15)</f>
      </c>
      <c r="N24" s="13">
        <f>IF(P15="","",E24+K24)</f>
      </c>
      <c r="O24" s="14" t="s">
        <v>0</v>
      </c>
      <c r="P24" s="15">
        <f>IF(P15="","",G24+M24)</f>
      </c>
      <c r="Q24" s="16">
        <f>IF(P24="","",SUM(H24:J24))</f>
      </c>
      <c r="R24" s="17">
        <f>IF(Q24="","",D14&amp;".")</f>
      </c>
    </row>
    <row r="25" spans="1:18" s="6" customFormat="1" ht="19.5" customHeight="1" thickBot="1">
      <c r="A25" s="3"/>
      <c r="B25" s="200">
        <f>K22</f>
      </c>
      <c r="C25" s="201"/>
      <c r="D25" s="202"/>
      <c r="E25" s="18">
        <f>M23</f>
      </c>
      <c r="F25" s="19" t="s">
        <v>0</v>
      </c>
      <c r="G25" s="20">
        <f>K23</f>
      </c>
      <c r="H25" s="18">
        <f>M24</f>
      </c>
      <c r="I25" s="19" t="s">
        <v>0</v>
      </c>
      <c r="J25" s="20">
        <f>K24</f>
      </c>
      <c r="K25" s="21">
        <f>IF(E25&gt;G25,R5,IF(E25=G25,R6,R7))</f>
        <v>1</v>
      </c>
      <c r="L25" s="23">
        <f>IF(H25&gt;J25,R5,IF(H25=J25,R6,R7))</f>
        <v>1</v>
      </c>
      <c r="M25" s="23" t="e">
        <f>0.001*(N25-P25)+0.00001*N25</f>
        <v>#VALUE!</v>
      </c>
      <c r="N25" s="24">
        <f>IF(P15="","",E25+H25)</f>
      </c>
      <c r="O25" s="25" t="s">
        <v>0</v>
      </c>
      <c r="P25" s="26">
        <f>IF(P15="","",G25+J25)</f>
      </c>
      <c r="Q25" s="27">
        <f>IF(P25="","",SUM(K25:M25))</f>
      </c>
      <c r="R25" s="28">
        <f>IF(Q25="","",D15&amp;".")</f>
      </c>
    </row>
    <row r="26" ht="19.5" customHeight="1" thickBot="1"/>
    <row r="27" spans="1:18" s="6" customFormat="1" ht="19.5" customHeight="1">
      <c r="A27" s="3"/>
      <c r="B27" s="3"/>
      <c r="C27" s="3"/>
      <c r="D27" s="29"/>
      <c r="E27" s="229" t="s">
        <v>36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1"/>
      <c r="Q27" s="29"/>
      <c r="R27" s="29"/>
    </row>
    <row r="28" spans="1:18" s="6" customFormat="1" ht="19.5" customHeight="1">
      <c r="A28" s="3"/>
      <c r="B28" s="3"/>
      <c r="C28" s="3"/>
      <c r="D28" s="29"/>
      <c r="E28" s="99" t="s">
        <v>37</v>
      </c>
      <c r="F28" s="219" t="s">
        <v>40</v>
      </c>
      <c r="G28" s="219"/>
      <c r="H28" s="209">
        <f>IF(P14="","",INDEX(E5:E7,Q28))</f>
      </c>
      <c r="I28" s="209"/>
      <c r="J28" s="209"/>
      <c r="K28" s="210">
        <f>IF(P15="","",INDEX(K5:K7,R28))</f>
      </c>
      <c r="L28" s="210"/>
      <c r="M28" s="210"/>
      <c r="N28" s="39"/>
      <c r="O28" s="14" t="s">
        <v>0</v>
      </c>
      <c r="P28" s="31"/>
      <c r="Q28" s="142" t="e">
        <f>MATCH(3,D10:D12,0)</f>
        <v>#N/A</v>
      </c>
      <c r="R28" s="49" t="e">
        <f>MATCH(3,D13:D15,0)</f>
        <v>#N/A</v>
      </c>
    </row>
    <row r="29" spans="1:18" s="6" customFormat="1" ht="19.5" customHeight="1">
      <c r="A29" s="3"/>
      <c r="B29" s="3"/>
      <c r="C29" s="3"/>
      <c r="D29" s="29"/>
      <c r="E29" s="99" t="s">
        <v>38</v>
      </c>
      <c r="F29" s="219" t="s">
        <v>50</v>
      </c>
      <c r="G29" s="219"/>
      <c r="H29" s="209">
        <f>IF(P14="","",INDEX(E5:E7,Q29))</f>
      </c>
      <c r="I29" s="209"/>
      <c r="J29" s="209"/>
      <c r="K29" s="210">
        <f>IF(P15="","",INDEX(K5:K7,R29))</f>
      </c>
      <c r="L29" s="210"/>
      <c r="M29" s="210"/>
      <c r="N29" s="39"/>
      <c r="O29" s="14" t="s">
        <v>0</v>
      </c>
      <c r="P29" s="31"/>
      <c r="Q29" s="142" t="e">
        <f>MATCH(2,D10:D12,0)</f>
        <v>#N/A</v>
      </c>
      <c r="R29" s="49" t="e">
        <f>MATCH(2,D13:D15,0)</f>
        <v>#N/A</v>
      </c>
    </row>
    <row r="30" spans="1:18" s="6" customFormat="1" ht="19.5" customHeight="1" thickBot="1">
      <c r="A30" s="3"/>
      <c r="B30" s="3"/>
      <c r="C30" s="3"/>
      <c r="D30" s="29"/>
      <c r="E30" s="102" t="s">
        <v>39</v>
      </c>
      <c r="F30" s="217" t="s">
        <v>51</v>
      </c>
      <c r="G30" s="217"/>
      <c r="H30" s="204">
        <f>IF(P14="","",INDEX(E5:E7,Q30))</f>
      </c>
      <c r="I30" s="204"/>
      <c r="J30" s="204"/>
      <c r="K30" s="213">
        <f>IF(P15="","",INDEX(K5:K7,R30))</f>
      </c>
      <c r="L30" s="213"/>
      <c r="M30" s="213"/>
      <c r="N30" s="33"/>
      <c r="O30" s="25" t="s">
        <v>0</v>
      </c>
      <c r="P30" s="34"/>
      <c r="Q30" s="142" t="e">
        <f>MATCH(1,D10:D12,0)</f>
        <v>#N/A</v>
      </c>
      <c r="R30" s="49" t="e">
        <f>MATCH(1,D13:D15,0)</f>
        <v>#N/A</v>
      </c>
    </row>
    <row r="31" ht="19.5" customHeight="1" thickBot="1"/>
    <row r="32" spans="1:18" s="6" customFormat="1" ht="19.5" customHeight="1">
      <c r="A32" s="3"/>
      <c r="B32" s="3"/>
      <c r="C32" s="3"/>
      <c r="D32" s="29"/>
      <c r="E32" s="29"/>
      <c r="F32" s="29"/>
      <c r="G32" s="229" t="s">
        <v>47</v>
      </c>
      <c r="H32" s="230"/>
      <c r="I32" s="230"/>
      <c r="J32" s="231"/>
      <c r="K32" s="29"/>
      <c r="L32" s="29"/>
      <c r="M32" s="29"/>
      <c r="N32" s="29"/>
      <c r="O32" s="29"/>
      <c r="P32" s="29"/>
      <c r="Q32" s="29"/>
      <c r="R32" s="29"/>
    </row>
    <row r="33" spans="7:10" ht="19.5" customHeight="1">
      <c r="G33" s="99" t="s">
        <v>27</v>
      </c>
      <c r="H33" s="210">
        <f>IF(P30="","",IF(N30&gt;P30,H30,K30))</f>
      </c>
      <c r="I33" s="210"/>
      <c r="J33" s="263"/>
    </row>
    <row r="34" spans="7:10" ht="19.5" customHeight="1">
      <c r="G34" s="99" t="s">
        <v>28</v>
      </c>
      <c r="H34" s="210">
        <f>IF(P30="","",IF(N30&gt;P30,K30,H30))</f>
      </c>
      <c r="I34" s="210"/>
      <c r="J34" s="263"/>
    </row>
    <row r="35" spans="7:10" ht="19.5" customHeight="1">
      <c r="G35" s="99" t="s">
        <v>29</v>
      </c>
      <c r="H35" s="210">
        <f>IF(P29="","",IF(N29&gt;P29,H29,K29))</f>
      </c>
      <c r="I35" s="210"/>
      <c r="J35" s="263"/>
    </row>
    <row r="36" spans="7:10" ht="19.5" customHeight="1">
      <c r="G36" s="99" t="s">
        <v>31</v>
      </c>
      <c r="H36" s="210">
        <f>IF(P29="","",IF(N29&gt;P29,K29,H29))</f>
      </c>
      <c r="I36" s="210"/>
      <c r="J36" s="263"/>
    </row>
    <row r="37" spans="7:10" ht="19.5" customHeight="1">
      <c r="G37" s="99" t="s">
        <v>32</v>
      </c>
      <c r="H37" s="210">
        <f>IF(P28="","",IF(N28&gt;P28,H28,K28))</f>
      </c>
      <c r="I37" s="210"/>
      <c r="J37" s="263"/>
    </row>
    <row r="38" spans="7:10" ht="19.5" customHeight="1" thickBot="1">
      <c r="G38" s="102" t="s">
        <v>33</v>
      </c>
      <c r="H38" s="213">
        <f>IF(P28="","",IF(N28&gt;P28,K28,H28))</f>
      </c>
      <c r="I38" s="213"/>
      <c r="J38" s="264"/>
    </row>
  </sheetData>
  <sheetProtection sheet="1" objects="1" scenarios="1"/>
  <mergeCells count="66">
    <mergeCell ref="E5:G5"/>
    <mergeCell ref="E6:G6"/>
    <mergeCell ref="H13:J13"/>
    <mergeCell ref="K13:M13"/>
    <mergeCell ref="O4:R4"/>
    <mergeCell ref="H11:J11"/>
    <mergeCell ref="K11:M11"/>
    <mergeCell ref="D1:R1"/>
    <mergeCell ref="E7:G7"/>
    <mergeCell ref="E9:P9"/>
    <mergeCell ref="O5:Q5"/>
    <mergeCell ref="O6:Q6"/>
    <mergeCell ref="K15:M15"/>
    <mergeCell ref="F13:G13"/>
    <mergeCell ref="K17:M17"/>
    <mergeCell ref="N17:P17"/>
    <mergeCell ref="K12:M12"/>
    <mergeCell ref="E17:G17"/>
    <mergeCell ref="H17:J17"/>
    <mergeCell ref="H12:J12"/>
    <mergeCell ref="F14:G14"/>
    <mergeCell ref="F15:G15"/>
    <mergeCell ref="E27:P27"/>
    <mergeCell ref="F28:G28"/>
    <mergeCell ref="H28:J28"/>
    <mergeCell ref="K28:M28"/>
    <mergeCell ref="O7:Q7"/>
    <mergeCell ref="E22:G22"/>
    <mergeCell ref="H22:J22"/>
    <mergeCell ref="K22:M22"/>
    <mergeCell ref="N22:P22"/>
    <mergeCell ref="H15:J15"/>
    <mergeCell ref="K29:M29"/>
    <mergeCell ref="F30:G30"/>
    <mergeCell ref="H30:J30"/>
    <mergeCell ref="K30:M30"/>
    <mergeCell ref="H37:J37"/>
    <mergeCell ref="H38:J38"/>
    <mergeCell ref="G32:J32"/>
    <mergeCell ref="D2:R2"/>
    <mergeCell ref="H33:J33"/>
    <mergeCell ref="H34:J34"/>
    <mergeCell ref="H35:J35"/>
    <mergeCell ref="H36:J36"/>
    <mergeCell ref="F29:G29"/>
    <mergeCell ref="H29:J29"/>
    <mergeCell ref="D4:G4"/>
    <mergeCell ref="J4:M4"/>
    <mergeCell ref="B22:D22"/>
    <mergeCell ref="H14:J14"/>
    <mergeCell ref="K14:M14"/>
    <mergeCell ref="K5:M5"/>
    <mergeCell ref="K6:M6"/>
    <mergeCell ref="K7:M7"/>
    <mergeCell ref="F12:G12"/>
    <mergeCell ref="F11:G11"/>
    <mergeCell ref="F10:G10"/>
    <mergeCell ref="H10:J10"/>
    <mergeCell ref="K10:M10"/>
    <mergeCell ref="B24:D24"/>
    <mergeCell ref="B25:D25"/>
    <mergeCell ref="B17:D17"/>
    <mergeCell ref="B18:D18"/>
    <mergeCell ref="B19:D19"/>
    <mergeCell ref="B20:D20"/>
    <mergeCell ref="B23:D2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M61"/>
  <sheetViews>
    <sheetView showGridLines="0" zoomScalePageLayoutView="0" workbookViewId="0" topLeftCell="A1">
      <selection activeCell="E5" sqref="E5:G5"/>
    </sheetView>
  </sheetViews>
  <sheetFormatPr defaultColWidth="9.140625" defaultRowHeight="12.75"/>
  <cols>
    <col min="1" max="1" width="0.85546875" style="1" customWidth="1"/>
    <col min="2" max="2" width="6.7109375" style="1" customWidth="1"/>
    <col min="3" max="3" width="1.7109375" style="1" customWidth="1"/>
    <col min="4" max="5" width="6.7109375" style="2" customWidth="1"/>
    <col min="6" max="6" width="1.7109375" style="2" customWidth="1"/>
    <col min="7" max="8" width="6.7109375" style="2" customWidth="1"/>
    <col min="9" max="9" width="1.7109375" style="2" customWidth="1"/>
    <col min="10" max="11" width="6.7109375" style="2" customWidth="1"/>
    <col min="12" max="12" width="1.7109375" style="2" customWidth="1"/>
    <col min="13" max="14" width="6.7109375" style="2" customWidth="1"/>
    <col min="15" max="15" width="1.7109375" style="2" customWidth="1"/>
    <col min="16" max="16" width="6.7109375" style="2" customWidth="1"/>
    <col min="17" max="17" width="4.7109375" style="2" customWidth="1"/>
    <col min="18" max="18" width="1.7109375" style="2" customWidth="1"/>
    <col min="19" max="19" width="4.7109375" style="1" customWidth="1"/>
    <col min="20" max="20" width="6.7109375" style="1" customWidth="1"/>
    <col min="21" max="21" width="6.7109375" style="83" customWidth="1"/>
    <col min="22" max="34" width="2.7109375" style="77" hidden="1" customWidth="1"/>
  </cols>
  <sheetData>
    <row r="1" spans="4:18" ht="33.75">
      <c r="D1" s="215" t="s">
        <v>134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2:21" ht="15.75">
      <c r="B2" s="279" t="s">
        <v>122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ht="15.75" customHeight="1" thickBot="1"/>
    <row r="4" spans="1:34" s="6" customFormat="1" ht="19.5" customHeight="1">
      <c r="A4" s="3"/>
      <c r="B4" s="3"/>
      <c r="C4" s="3"/>
      <c r="D4" s="229" t="s">
        <v>4</v>
      </c>
      <c r="E4" s="230"/>
      <c r="F4" s="230"/>
      <c r="G4" s="231"/>
      <c r="H4" s="3"/>
      <c r="I4" s="3"/>
      <c r="J4" s="229" t="s">
        <v>4</v>
      </c>
      <c r="K4" s="230"/>
      <c r="L4" s="230"/>
      <c r="M4" s="231"/>
      <c r="N4" s="3"/>
      <c r="O4" s="227" t="s">
        <v>5</v>
      </c>
      <c r="P4" s="212"/>
      <c r="Q4" s="212"/>
      <c r="R4" s="212"/>
      <c r="S4" s="228"/>
      <c r="T4" s="3"/>
      <c r="U4" s="3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6" customFormat="1" ht="19.5" customHeight="1">
      <c r="A5" s="3"/>
      <c r="B5" s="3"/>
      <c r="C5" s="3"/>
      <c r="D5" s="125" t="s">
        <v>15</v>
      </c>
      <c r="E5" s="222"/>
      <c r="F5" s="222"/>
      <c r="G5" s="223"/>
      <c r="H5" s="3"/>
      <c r="I5" s="3"/>
      <c r="J5" s="125" t="s">
        <v>17</v>
      </c>
      <c r="K5" s="222"/>
      <c r="L5" s="222"/>
      <c r="M5" s="223"/>
      <c r="N5" s="3"/>
      <c r="O5" s="220" t="s">
        <v>6</v>
      </c>
      <c r="P5" s="221"/>
      <c r="Q5" s="221"/>
      <c r="R5" s="272">
        <v>3</v>
      </c>
      <c r="S5" s="273"/>
      <c r="T5" s="142"/>
      <c r="U5" s="3"/>
      <c r="Y5" s="78"/>
      <c r="Z5" s="78"/>
      <c r="AA5" s="78"/>
      <c r="AB5" s="78"/>
      <c r="AC5" s="78"/>
      <c r="AD5" s="78"/>
      <c r="AE5" s="78"/>
      <c r="AF5" s="78"/>
      <c r="AG5" s="78"/>
      <c r="AH5" s="78"/>
    </row>
    <row r="6" spans="1:34" s="6" customFormat="1" ht="19.5" customHeight="1">
      <c r="A6" s="3"/>
      <c r="B6" s="3"/>
      <c r="C6" s="3"/>
      <c r="D6" s="125" t="s">
        <v>16</v>
      </c>
      <c r="E6" s="222"/>
      <c r="F6" s="222"/>
      <c r="G6" s="223"/>
      <c r="H6" s="3"/>
      <c r="I6" s="3"/>
      <c r="J6" s="125" t="s">
        <v>19</v>
      </c>
      <c r="K6" s="222"/>
      <c r="L6" s="222"/>
      <c r="M6" s="223"/>
      <c r="N6" s="3"/>
      <c r="O6" s="220" t="s">
        <v>7</v>
      </c>
      <c r="P6" s="221"/>
      <c r="Q6" s="221"/>
      <c r="R6" s="274">
        <v>1</v>
      </c>
      <c r="S6" s="275"/>
      <c r="T6" s="142"/>
      <c r="U6" s="3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s="6" customFormat="1" ht="19.5" customHeight="1" thickBot="1">
      <c r="A7" s="3"/>
      <c r="B7" s="3"/>
      <c r="C7" s="3"/>
      <c r="D7" s="125" t="s">
        <v>18</v>
      </c>
      <c r="E7" s="222"/>
      <c r="F7" s="222"/>
      <c r="G7" s="223"/>
      <c r="H7" s="3"/>
      <c r="I7" s="3"/>
      <c r="J7" s="138" t="s">
        <v>20</v>
      </c>
      <c r="K7" s="207"/>
      <c r="L7" s="207"/>
      <c r="M7" s="208"/>
      <c r="N7" s="3"/>
      <c r="O7" s="205" t="s">
        <v>8</v>
      </c>
      <c r="P7" s="206"/>
      <c r="Q7" s="206"/>
      <c r="R7" s="276">
        <v>0</v>
      </c>
      <c r="S7" s="277"/>
      <c r="T7" s="142"/>
      <c r="U7" s="3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30" s="6" customFormat="1" ht="19.5" customHeight="1" thickBot="1">
      <c r="A8" s="3"/>
      <c r="B8" s="3"/>
      <c r="C8" s="3"/>
      <c r="D8" s="138" t="s">
        <v>117</v>
      </c>
      <c r="E8" s="238"/>
      <c r="F8" s="238"/>
      <c r="G8" s="239"/>
      <c r="H8" s="3"/>
      <c r="I8" s="3"/>
      <c r="J8" s="38"/>
      <c r="K8" s="38"/>
      <c r="L8" s="143"/>
      <c r="M8" s="29"/>
      <c r="N8" s="29"/>
      <c r="O8" s="3"/>
      <c r="P8" s="3"/>
      <c r="Q8" s="3"/>
      <c r="R8" s="3"/>
      <c r="S8" s="3"/>
      <c r="T8" s="3"/>
      <c r="U8" s="145"/>
      <c r="V8" s="78"/>
      <c r="W8" s="78"/>
      <c r="X8" s="78"/>
      <c r="Y8" s="78"/>
      <c r="Z8" s="78"/>
      <c r="AA8" s="78"/>
      <c r="AB8" s="78"/>
      <c r="AC8" s="78"/>
      <c r="AD8" s="78"/>
    </row>
    <row r="9" ht="19.5" customHeight="1" thickBot="1"/>
    <row r="10" spans="1:34" s="6" customFormat="1" ht="19.5" customHeight="1">
      <c r="A10" s="3"/>
      <c r="B10" s="3"/>
      <c r="C10" s="3"/>
      <c r="D10" s="29"/>
      <c r="E10" s="229" t="s">
        <v>9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Q10" s="29"/>
      <c r="R10" s="29"/>
      <c r="S10" s="3"/>
      <c r="T10" s="3"/>
      <c r="U10" s="84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s="6" customFormat="1" ht="19.5" customHeight="1">
      <c r="A11" s="3"/>
      <c r="B11" s="3"/>
      <c r="C11" s="3"/>
      <c r="D11" s="47"/>
      <c r="E11" s="99" t="s">
        <v>27</v>
      </c>
      <c r="F11" s="218" t="s">
        <v>21</v>
      </c>
      <c r="G11" s="219"/>
      <c r="H11" s="224">
        <f>IF(E5="","",E5)</f>
      </c>
      <c r="I11" s="225"/>
      <c r="J11" s="226"/>
      <c r="K11" s="210">
        <f>IF(E6="","",E6)</f>
      </c>
      <c r="L11" s="210"/>
      <c r="M11" s="211"/>
      <c r="N11" s="30"/>
      <c r="O11" s="14" t="s">
        <v>0</v>
      </c>
      <c r="P11" s="31"/>
      <c r="Q11" s="142">
        <v>12</v>
      </c>
      <c r="R11" s="93"/>
      <c r="S11" s="81"/>
      <c r="T11" s="3"/>
      <c r="U11" s="84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s="6" customFormat="1" ht="19.5" customHeight="1">
      <c r="A12" s="3"/>
      <c r="B12" s="3"/>
      <c r="C12" s="3"/>
      <c r="D12" s="47"/>
      <c r="E12" s="99" t="s">
        <v>28</v>
      </c>
      <c r="F12" s="218" t="s">
        <v>136</v>
      </c>
      <c r="G12" s="219"/>
      <c r="H12" s="209">
        <f>IF(E7="","",E7)</f>
      </c>
      <c r="I12" s="209"/>
      <c r="J12" s="209"/>
      <c r="K12" s="210">
        <f>IF(E8="","",E8)</f>
      </c>
      <c r="L12" s="210"/>
      <c r="M12" s="211"/>
      <c r="N12" s="30"/>
      <c r="O12" s="14" t="s">
        <v>0</v>
      </c>
      <c r="P12" s="31"/>
      <c r="Q12" s="142">
        <v>34</v>
      </c>
      <c r="R12" s="93"/>
      <c r="S12" s="81"/>
      <c r="T12" s="3"/>
      <c r="U12" s="84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</row>
    <row r="13" spans="1:34" s="6" customFormat="1" ht="19.5" customHeight="1">
      <c r="A13" s="3"/>
      <c r="B13" s="3"/>
      <c r="C13" s="3"/>
      <c r="D13" s="47"/>
      <c r="E13" s="99" t="s">
        <v>29</v>
      </c>
      <c r="F13" s="270" t="s">
        <v>22</v>
      </c>
      <c r="G13" s="218"/>
      <c r="H13" s="209">
        <f>IF(K5="","",K5)</f>
      </c>
      <c r="I13" s="209"/>
      <c r="J13" s="209"/>
      <c r="K13" s="210">
        <f>IF(K6="","",K6)</f>
      </c>
      <c r="L13" s="210"/>
      <c r="M13" s="211"/>
      <c r="N13" s="30"/>
      <c r="O13" s="14" t="s">
        <v>0</v>
      </c>
      <c r="P13" s="31"/>
      <c r="Q13" s="142">
        <v>13</v>
      </c>
      <c r="R13" s="93"/>
      <c r="S13" s="81"/>
      <c r="T13" s="3"/>
      <c r="U13" s="84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s="6" customFormat="1" ht="19.5" customHeight="1">
      <c r="A14" s="3"/>
      <c r="B14" s="3"/>
      <c r="C14" s="3"/>
      <c r="D14" s="47"/>
      <c r="E14" s="99" t="s">
        <v>31</v>
      </c>
      <c r="F14" s="218" t="s">
        <v>23</v>
      </c>
      <c r="G14" s="219"/>
      <c r="H14" s="209">
        <f>H11</f>
      </c>
      <c r="I14" s="209"/>
      <c r="J14" s="209"/>
      <c r="K14" s="210">
        <f>H12</f>
      </c>
      <c r="L14" s="210"/>
      <c r="M14" s="211"/>
      <c r="N14" s="30"/>
      <c r="O14" s="14" t="s">
        <v>0</v>
      </c>
      <c r="P14" s="31"/>
      <c r="Q14" s="142">
        <v>24</v>
      </c>
      <c r="R14" s="93"/>
      <c r="S14" s="81"/>
      <c r="T14" s="3"/>
      <c r="U14" s="84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s="6" customFormat="1" ht="19.5" customHeight="1">
      <c r="A15" s="3"/>
      <c r="B15" s="3"/>
      <c r="C15" s="3"/>
      <c r="D15" s="47"/>
      <c r="E15" s="99" t="s">
        <v>32</v>
      </c>
      <c r="F15" s="246" t="s">
        <v>137</v>
      </c>
      <c r="G15" s="247"/>
      <c r="H15" s="234">
        <f>K11</f>
      </c>
      <c r="I15" s="234"/>
      <c r="J15" s="234"/>
      <c r="K15" s="232">
        <f>K12</f>
      </c>
      <c r="L15" s="232"/>
      <c r="M15" s="233"/>
      <c r="N15" s="40"/>
      <c r="O15" s="41" t="s">
        <v>0</v>
      </c>
      <c r="P15" s="42"/>
      <c r="Q15" s="142">
        <v>14</v>
      </c>
      <c r="R15" s="93"/>
      <c r="S15" s="81"/>
      <c r="T15" s="3"/>
      <c r="U15" s="84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s="6" customFormat="1" ht="19.5" customHeight="1">
      <c r="A16" s="3"/>
      <c r="B16" s="3"/>
      <c r="C16" s="3"/>
      <c r="D16" s="47"/>
      <c r="E16" s="99" t="s">
        <v>33</v>
      </c>
      <c r="F16" s="270" t="s">
        <v>22</v>
      </c>
      <c r="G16" s="218"/>
      <c r="H16" s="209">
        <f>H13</f>
      </c>
      <c r="I16" s="209"/>
      <c r="J16" s="209"/>
      <c r="K16" s="210">
        <f>IF(K7="","",K7)</f>
      </c>
      <c r="L16" s="210"/>
      <c r="M16" s="211"/>
      <c r="N16" s="30"/>
      <c r="O16" s="14" t="s">
        <v>0</v>
      </c>
      <c r="P16" s="31"/>
      <c r="Q16" s="142">
        <v>23</v>
      </c>
      <c r="R16" s="93"/>
      <c r="S16" s="81"/>
      <c r="T16" s="3"/>
      <c r="U16" s="84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s="6" customFormat="1" ht="19.5" customHeight="1">
      <c r="A17" s="3"/>
      <c r="B17" s="3"/>
      <c r="C17" s="3"/>
      <c r="D17" s="47"/>
      <c r="E17" s="99" t="s">
        <v>37</v>
      </c>
      <c r="F17" s="246" t="s">
        <v>138</v>
      </c>
      <c r="G17" s="247"/>
      <c r="H17" s="234">
        <f>H11</f>
      </c>
      <c r="I17" s="234"/>
      <c r="J17" s="234"/>
      <c r="K17" s="232">
        <f>K12</f>
      </c>
      <c r="L17" s="232"/>
      <c r="M17" s="233"/>
      <c r="N17" s="40"/>
      <c r="O17" s="41" t="s">
        <v>0</v>
      </c>
      <c r="P17" s="42"/>
      <c r="Q17" s="3"/>
      <c r="R17" s="93"/>
      <c r="S17" s="81"/>
      <c r="T17" s="3"/>
      <c r="U17" s="84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9" s="6" customFormat="1" ht="19.5" customHeight="1">
      <c r="A18" s="3"/>
      <c r="B18" s="3"/>
      <c r="C18" s="3"/>
      <c r="D18" s="29"/>
      <c r="E18" s="99" t="s">
        <v>38</v>
      </c>
      <c r="F18" s="218" t="s">
        <v>25</v>
      </c>
      <c r="G18" s="219"/>
      <c r="H18" s="209">
        <f>K11</f>
      </c>
      <c r="I18" s="209"/>
      <c r="J18" s="209"/>
      <c r="K18" s="210">
        <f>H12</f>
      </c>
      <c r="L18" s="210"/>
      <c r="M18" s="211"/>
      <c r="N18" s="30"/>
      <c r="O18" s="14" t="s">
        <v>0</v>
      </c>
      <c r="P18" s="31"/>
      <c r="Q18" s="3"/>
      <c r="R18" s="93"/>
      <c r="S18" s="46"/>
      <c r="T18" s="3"/>
      <c r="U18" s="84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M18"/>
    </row>
    <row r="19" spans="1:34" s="6" customFormat="1" ht="19.5" customHeight="1" thickBot="1">
      <c r="A19" s="3"/>
      <c r="B19" s="3"/>
      <c r="C19" s="3"/>
      <c r="D19" s="29"/>
      <c r="E19" s="101" t="s">
        <v>39</v>
      </c>
      <c r="F19" s="278" t="s">
        <v>26</v>
      </c>
      <c r="G19" s="250"/>
      <c r="H19" s="235">
        <f>K13</f>
      </c>
      <c r="I19" s="235"/>
      <c r="J19" s="235"/>
      <c r="K19" s="248">
        <f>K16</f>
      </c>
      <c r="L19" s="248"/>
      <c r="M19" s="249"/>
      <c r="N19" s="50"/>
      <c r="O19" s="43" t="s">
        <v>0</v>
      </c>
      <c r="P19" s="44"/>
      <c r="Q19" s="93"/>
      <c r="R19" s="93"/>
      <c r="S19" s="46"/>
      <c r="T19" s="3"/>
      <c r="U19" s="84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ht="19.5" customHeight="1" thickBot="1">
      <c r="AM20" s="6"/>
    </row>
    <row r="21" spans="1:34" s="6" customFormat="1" ht="30" customHeight="1">
      <c r="A21" s="3"/>
      <c r="B21" s="195" t="s">
        <v>30</v>
      </c>
      <c r="C21" s="196"/>
      <c r="D21" s="197"/>
      <c r="E21" s="203">
        <f>H11</f>
      </c>
      <c r="F21" s="203"/>
      <c r="G21" s="203"/>
      <c r="H21" s="203">
        <f>K11</f>
      </c>
      <c r="I21" s="203"/>
      <c r="J21" s="203"/>
      <c r="K21" s="203">
        <f>H12</f>
      </c>
      <c r="L21" s="203"/>
      <c r="M21" s="203"/>
      <c r="N21" s="203">
        <f>K12</f>
      </c>
      <c r="O21" s="203"/>
      <c r="P21" s="203"/>
      <c r="Q21" s="212" t="s">
        <v>1</v>
      </c>
      <c r="R21" s="212"/>
      <c r="S21" s="212"/>
      <c r="T21" s="4" t="s">
        <v>2</v>
      </c>
      <c r="U21" s="5" t="s">
        <v>3</v>
      </c>
      <c r="V21" s="78"/>
      <c r="W21" s="78"/>
      <c r="X21" s="86">
        <v>10</v>
      </c>
      <c r="Y21" s="85"/>
      <c r="Z21" s="86">
        <v>9</v>
      </c>
      <c r="AA21" s="85"/>
      <c r="AB21" s="86">
        <v>8</v>
      </c>
      <c r="AC21" s="85"/>
      <c r="AD21" s="86">
        <v>7</v>
      </c>
      <c r="AE21" s="85"/>
      <c r="AF21" s="86">
        <v>4</v>
      </c>
      <c r="AG21" s="85"/>
      <c r="AH21" s="86" t="s">
        <v>62</v>
      </c>
    </row>
    <row r="22" spans="1:34" s="6" customFormat="1" ht="30" customHeight="1">
      <c r="A22" s="32">
        <v>1</v>
      </c>
      <c r="B22" s="198">
        <f>E21</f>
      </c>
      <c r="C22" s="199"/>
      <c r="D22" s="199"/>
      <c r="E22" s="7">
        <f>IF(H22&gt;J22,R5,IF(H22=J22,R6,R7))</f>
        <v>1</v>
      </c>
      <c r="F22" s="8">
        <f>IF(K22&gt;M22,R5,IF(K22=M22,R6,R7))</f>
        <v>1</v>
      </c>
      <c r="G22" s="9">
        <f>IF(N22&gt;P22,R5,IF(N22=P22,R6,R7))</f>
        <v>1</v>
      </c>
      <c r="H22" s="10">
        <f>IF(P11="","",N11)</f>
      </c>
      <c r="I22" s="11" t="s">
        <v>0</v>
      </c>
      <c r="J22" s="12">
        <f>IF(P11="","",P11)</f>
      </c>
      <c r="K22" s="10">
        <f>IF(P14="","",N14)</f>
      </c>
      <c r="L22" s="11" t="s">
        <v>0</v>
      </c>
      <c r="M22" s="12">
        <f>IF(P14="","",P14)</f>
      </c>
      <c r="N22" s="10">
        <f>IF(P17="","",N17)</f>
      </c>
      <c r="O22" s="11" t="s">
        <v>0</v>
      </c>
      <c r="P22" s="12">
        <f>IF(P17="","",P17)</f>
      </c>
      <c r="Q22" s="13">
        <f>IF(P18="","",H22+K22+N22)</f>
      </c>
      <c r="R22" s="14" t="s">
        <v>0</v>
      </c>
      <c r="S22" s="15">
        <f>IF(P18="","",J22+M22+P22)</f>
      </c>
      <c r="T22" s="16">
        <f>IF(P18="","",SUM(E22:G22))</f>
      </c>
      <c r="U22" s="17">
        <f>IF(P18="","",AH22&amp;".")</f>
      </c>
      <c r="V22" s="78">
        <f>SUM(E22:G22)</f>
        <v>3</v>
      </c>
      <c r="W22" s="78" t="e">
        <f>0.001*(Q22-S22)+0.00001*Q22</f>
        <v>#VALUE!</v>
      </c>
      <c r="X22" s="87">
        <f>RANK(V22,$V$22:$V$25)</f>
        <v>1</v>
      </c>
      <c r="Y22" s="79" t="e">
        <f>IF(A22=$Y$31,V22+0.1+W22,V22+W22)</f>
        <v>#N/A</v>
      </c>
      <c r="Z22" s="87" t="e">
        <f>RANK(Y22,$Y$22:$Y$25)</f>
        <v>#N/A</v>
      </c>
      <c r="AA22" s="79" t="e">
        <f>IF(A22=$AA$30,V22+0.1+W22,IF(A22=$AB$30,V22+0.1+W22,V22+W22))</f>
        <v>#N/A</v>
      </c>
      <c r="AB22" s="87" t="e">
        <f>RANK(AA22,$AA$22:$AA$25)</f>
        <v>#N/A</v>
      </c>
      <c r="AC22" s="79" t="e">
        <f>IF(A22=AC27,V22+G34,IF(A22=AC28,V22+J35,IF(A22=AC29,V22+M36,V22+W22)))</f>
        <v>#N/A</v>
      </c>
      <c r="AD22" s="88" t="e">
        <f>RANK(AC22,$AC$22:$AC$25)</f>
        <v>#N/A</v>
      </c>
      <c r="AE22" s="79"/>
      <c r="AF22" s="87" t="e">
        <f>RANK(W22,$W$22:$W$25)</f>
        <v>#VALUE!</v>
      </c>
      <c r="AG22" s="61"/>
      <c r="AH22" s="87" t="e">
        <f>IF($X$26=10,X22,IF($X$26=9,Z22,IF($X$26=8,AB22,IF($X$26=7,AD22,AF22))))</f>
        <v>#VALUE!</v>
      </c>
    </row>
    <row r="23" spans="1:34" s="6" customFormat="1" ht="30" customHeight="1">
      <c r="A23" s="32">
        <v>2</v>
      </c>
      <c r="B23" s="198">
        <f>H21</f>
      </c>
      <c r="C23" s="199"/>
      <c r="D23" s="199"/>
      <c r="E23" s="10">
        <f>J22</f>
      </c>
      <c r="F23" s="11" t="s">
        <v>0</v>
      </c>
      <c r="G23" s="12">
        <f>H22</f>
      </c>
      <c r="H23" s="7">
        <f>IF(E23&gt;G23,R5,IF(E23=G23,R6,R7))</f>
        <v>1</v>
      </c>
      <c r="I23" s="8">
        <f>IF(K23&gt;M23,R5,IF(K23=M23,R6,R7))</f>
        <v>1</v>
      </c>
      <c r="J23" s="9">
        <f>IF(N23&gt;P23,R5,IF(N23=P23,R6,R7))</f>
        <v>1</v>
      </c>
      <c r="K23" s="10">
        <f>IF(P18="","",N18)</f>
      </c>
      <c r="L23" s="11" t="s">
        <v>0</v>
      </c>
      <c r="M23" s="12">
        <f>IF(P18="","",P18)</f>
      </c>
      <c r="N23" s="10">
        <f>IF(P15="","",N15)</f>
      </c>
      <c r="O23" s="11" t="s">
        <v>0</v>
      </c>
      <c r="P23" s="12">
        <f>IF(P15="","",P15)</f>
      </c>
      <c r="Q23" s="13">
        <f>IF(P18="","",E23+K23+N23)</f>
      </c>
      <c r="R23" s="14" t="s">
        <v>0</v>
      </c>
      <c r="S23" s="15">
        <f>IF(P18="","",G23+M23+P23)</f>
      </c>
      <c r="T23" s="16">
        <f>IF(P18="","",SUM(H23:J23))</f>
      </c>
      <c r="U23" s="17">
        <f>IF(P18="","",AH23&amp;".")</f>
      </c>
      <c r="V23" s="78">
        <f>SUM(H23:J23)</f>
        <v>3</v>
      </c>
      <c r="W23" s="78" t="e">
        <f>0.001*(Q23-S23)+0.00001*Q23</f>
        <v>#VALUE!</v>
      </c>
      <c r="X23" s="87">
        <f>RANK(V23,$V$22:$V$25)</f>
        <v>1</v>
      </c>
      <c r="Y23" s="79" t="e">
        <f>IF(A23=$Y$31,V23+0.1+W23,V23+W23)</f>
        <v>#N/A</v>
      </c>
      <c r="Z23" s="87" t="e">
        <f>RANK(Y23,$Y$22:$Y$25)</f>
        <v>#N/A</v>
      </c>
      <c r="AA23" s="79" t="e">
        <f>IF(A23=$AA$30,V23+0.1+W23,IF(A23=$AB$30,V23+0.1+W23,V23+W23))</f>
        <v>#N/A</v>
      </c>
      <c r="AB23" s="87" t="e">
        <f>RANK(AA23,$AA$22:$AA$25)</f>
        <v>#N/A</v>
      </c>
      <c r="AC23" s="79" t="e">
        <f>IF(A23=AC27,V23+G34,IF(A23=AC28,V23+J35,IF(A23=AC29,V23+M36,V23+W23)))</f>
        <v>#N/A</v>
      </c>
      <c r="AD23" s="88" t="e">
        <f>RANK(AC23,$AC$22:$AC$25)</f>
        <v>#N/A</v>
      </c>
      <c r="AE23" s="79"/>
      <c r="AF23" s="87" t="e">
        <f>RANK(W23,$W$22:$W$25)</f>
        <v>#VALUE!</v>
      </c>
      <c r="AG23" s="61"/>
      <c r="AH23" s="87" t="e">
        <f>IF($X$26=10,X23,IF($X$26=9,Z23,IF($X$26=8,AB23,IF($X$26=7,AD23,AF23))))</f>
        <v>#VALUE!</v>
      </c>
    </row>
    <row r="24" spans="1:39" s="6" customFormat="1" ht="30" customHeight="1">
      <c r="A24" s="32">
        <v>3</v>
      </c>
      <c r="B24" s="198">
        <f>K21</f>
      </c>
      <c r="C24" s="199"/>
      <c r="D24" s="199"/>
      <c r="E24" s="10">
        <f>M22</f>
      </c>
      <c r="F24" s="11" t="s">
        <v>0</v>
      </c>
      <c r="G24" s="12">
        <f>K22</f>
      </c>
      <c r="H24" s="10">
        <f>M23</f>
      </c>
      <c r="I24" s="11" t="s">
        <v>0</v>
      </c>
      <c r="J24" s="12">
        <f>K23</f>
      </c>
      <c r="K24" s="64">
        <f>IF(E24&gt;G24,R5,IF(E24=G24,R6,R7))</f>
        <v>1</v>
      </c>
      <c r="L24" s="8">
        <f>IF(H24&gt;J24,R5,IF(H24=J24,R6,R7))</f>
        <v>1</v>
      </c>
      <c r="M24" s="65">
        <f>IF(N24&gt;P24,R5,IF(N24=P24,R6,R7))</f>
        <v>1</v>
      </c>
      <c r="N24" s="10">
        <f>IF(P12="","",N12)</f>
      </c>
      <c r="O24" s="11" t="s">
        <v>0</v>
      </c>
      <c r="P24" s="12">
        <f>IF(P12="","",P12)</f>
      </c>
      <c r="Q24" s="13">
        <f>IF(P18="","",E24+H24+N24)</f>
      </c>
      <c r="R24" s="14" t="s">
        <v>0</v>
      </c>
      <c r="S24" s="15">
        <f>IF(P18="","",G24+J24+P24)</f>
      </c>
      <c r="T24" s="16">
        <f>IF(P18="","",SUM(K24:M24))</f>
      </c>
      <c r="U24" s="17">
        <f>IF(P18="","",AH24&amp;".")</f>
      </c>
      <c r="V24" s="78">
        <f>SUM(K24:M24)</f>
        <v>3</v>
      </c>
      <c r="W24" s="78" t="e">
        <f>0.001*(Q24-S24)+0.00001*Q24</f>
        <v>#VALUE!</v>
      </c>
      <c r="X24" s="87">
        <f>RANK(V24,$V$22:$V$25)</f>
        <v>1</v>
      </c>
      <c r="Y24" s="79" t="e">
        <f>IF(A24=$Y$31,V24+0.1+W24,V24+W24)</f>
        <v>#N/A</v>
      </c>
      <c r="Z24" s="87" t="e">
        <f>RANK(Y24,$Y$22:$Y$25)</f>
        <v>#N/A</v>
      </c>
      <c r="AA24" s="79" t="e">
        <f>IF(A24=$AA$30,V24+0.1+W24,IF(A24=$AB$30,V24+0.1+W24,V24+W24))</f>
        <v>#N/A</v>
      </c>
      <c r="AB24" s="87" t="e">
        <f>RANK(AA24,$AA$22:$AA$25)</f>
        <v>#N/A</v>
      </c>
      <c r="AC24" s="79" t="e">
        <f>IF(A24=AC27,V24+G34,IF(A24=AC28,V24+J35,IF(A24=AC29,V24+M36,V22+W24)))</f>
        <v>#N/A</v>
      </c>
      <c r="AD24" s="88" t="e">
        <f>RANK(AC24,$AC$22:$AC$25)</f>
        <v>#N/A</v>
      </c>
      <c r="AE24" s="79"/>
      <c r="AF24" s="87" t="e">
        <f>RANK(W24,$W$22:$W$25)</f>
        <v>#VALUE!</v>
      </c>
      <c r="AG24" s="61"/>
      <c r="AH24" s="87" t="e">
        <f>IF($X$26=10,X24,IF($X$26=9,Z24,IF($X$26=8,AB24,IF($X$26=7,AD24,AF24))))</f>
        <v>#VALUE!</v>
      </c>
      <c r="AM24"/>
    </row>
    <row r="25" spans="1:39" s="6" customFormat="1" ht="30" customHeight="1" thickBot="1">
      <c r="A25" s="32">
        <v>4</v>
      </c>
      <c r="B25" s="200">
        <f>N21</f>
      </c>
      <c r="C25" s="201"/>
      <c r="D25" s="202"/>
      <c r="E25" s="51">
        <f>P22</f>
      </c>
      <c r="F25" s="52" t="s">
        <v>0</v>
      </c>
      <c r="G25" s="53">
        <f>N22</f>
      </c>
      <c r="H25" s="51">
        <f>P23</f>
      </c>
      <c r="I25" s="52" t="s">
        <v>0</v>
      </c>
      <c r="J25" s="53">
        <f>N23</f>
      </c>
      <c r="K25" s="51">
        <f>P24</f>
      </c>
      <c r="L25" s="52" t="s">
        <v>0</v>
      </c>
      <c r="M25" s="53">
        <f>N24</f>
      </c>
      <c r="N25" s="21">
        <f>IF(E25&gt;G25,R5,IF(E25=G25,R6,R7))</f>
        <v>1</v>
      </c>
      <c r="O25" s="66">
        <f>IF(H25&gt;J25,R5,IF(H25=J25,R6,R7))</f>
        <v>1</v>
      </c>
      <c r="P25" s="23">
        <f>IF(K25&gt;M25,R5,IF(K25=M25,R6,R7))</f>
        <v>1</v>
      </c>
      <c r="Q25" s="54">
        <f>IF(P18="","",E25+H25+K25)</f>
      </c>
      <c r="R25" s="43" t="s">
        <v>0</v>
      </c>
      <c r="S25" s="55">
        <f>IF(P18="","",G25+J25+M25)</f>
      </c>
      <c r="T25" s="56">
        <f>IF(P18="","",SUM(N25:P25))</f>
      </c>
      <c r="U25" s="28">
        <f>IF(P18="","",AH25&amp;".")</f>
      </c>
      <c r="V25" s="78">
        <f>SUM(N25:P25)</f>
        <v>3</v>
      </c>
      <c r="W25" s="78" t="e">
        <f>0.001*(Q25-S25)+0.00001*Q25</f>
        <v>#VALUE!</v>
      </c>
      <c r="X25" s="87">
        <f>RANK(V25,$V$22:$V$25)</f>
        <v>1</v>
      </c>
      <c r="Y25" s="79" t="e">
        <f>IF(A25=$Y$31,V25+0.1+W25,V25+W25)</f>
        <v>#N/A</v>
      </c>
      <c r="Z25" s="87" t="e">
        <f>RANK(Y25,$Y$22:$Y$25)</f>
        <v>#N/A</v>
      </c>
      <c r="AA25" s="79" t="e">
        <f>IF(A25=$AA$30,V25+0.1+W25,IF(A25=$AB$30,V25+0.1+W25,V25+W25))</f>
        <v>#N/A</v>
      </c>
      <c r="AB25" s="87" t="e">
        <f>RANK(AA25,$AA$22:$AA$25)</f>
        <v>#N/A</v>
      </c>
      <c r="AC25" s="79" t="e">
        <f>IF(A25=AC27,V25+G34,IF(A25=AC28,V25+J35,IF(A25=AC29,V25+M36,V25+W25)))</f>
        <v>#N/A</v>
      </c>
      <c r="AD25" s="88" t="e">
        <f>RANK(AC25,$AC$22:$AC$25)</f>
        <v>#N/A</v>
      </c>
      <c r="AE25" s="79"/>
      <c r="AF25" s="87" t="e">
        <f>RANK(W25,$W$22:$W$25)</f>
        <v>#VALUE!</v>
      </c>
      <c r="AG25" s="61"/>
      <c r="AH25" s="87" t="e">
        <f>IF($X$26=10,X25,IF($X$26=9,Z25,IF($X$26=8,AB25,IF($X$26=7,AD25,AF25))))</f>
        <v>#VALUE!</v>
      </c>
      <c r="AM25"/>
    </row>
    <row r="26" spans="4:29" ht="15.75" hidden="1"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6"/>
      <c r="T26" s="156"/>
      <c r="U26" s="157"/>
      <c r="W26" s="79"/>
      <c r="X26" s="86">
        <f>SUM(X22:X25)</f>
        <v>4</v>
      </c>
      <c r="Y26" s="62">
        <f>IF(COUNTIF(X21:X25,1)=2,1,IF(COUNTIF(X21:X25,2)=2,2,IF(COUNTIF(X21:X25,3)=2,3,IF(COUNTIF(X21:X25,4)=2,4,5))))</f>
        <v>5</v>
      </c>
      <c r="AA26" s="77">
        <f>MATCH(1,X22:X25,0)</f>
        <v>1</v>
      </c>
      <c r="AB26" s="77" t="e">
        <f>MATCH(3,X22:X25,0)</f>
        <v>#N/A</v>
      </c>
      <c r="AC26" s="77">
        <f>IF(COUNTIF(X22:X25,1)=3,1,2)</f>
        <v>2</v>
      </c>
    </row>
    <row r="27" spans="19:30" ht="15.75" hidden="1">
      <c r="S27" s="80"/>
      <c r="T27" s="80"/>
      <c r="Y27" s="62" t="e">
        <f>MATCH(Y26,X22:X25,0)</f>
        <v>#N/A</v>
      </c>
      <c r="AA27" s="77">
        <f>IF(AA26=1,MATCH(1,X23:X25,0)+1,IF(AA26=1,MATCH(1,X23:X25,0)+2,4))</f>
        <v>2</v>
      </c>
      <c r="AB27" s="77" t="e">
        <f>IF(AB26=1,MATCH(3,X23:X25,0)+1,IF(AB26=1,MATCH(3,X24:X25,0)+2,4))</f>
        <v>#N/A</v>
      </c>
      <c r="AC27" s="62" t="e">
        <f>MATCH(AC26,X22:X25,0)</f>
        <v>#N/A</v>
      </c>
      <c r="AD27" s="62"/>
    </row>
    <row r="28" spans="19:30" ht="15.75" hidden="1">
      <c r="S28" s="80"/>
      <c r="T28" s="80"/>
      <c r="Y28" s="62" t="e">
        <f>IF(Y27=1,MATCH(Y26,X23:X25,0)+1,IF(Y27=2,MATCH(Y26,X24:X25,0)+2,4))</f>
        <v>#N/A</v>
      </c>
      <c r="AA28" s="62">
        <f>10*AA26+AA27</f>
        <v>12</v>
      </c>
      <c r="AB28" s="62" t="e">
        <f>10*AB26+AB27</f>
        <v>#N/A</v>
      </c>
      <c r="AC28" s="62" t="e">
        <f>IF(AC27=1,MATCH(AC26,X23:X25,0)+1,IF(AC27=2,MATCH(AC26,X24:X25,0)+2,4))</f>
        <v>#N/A</v>
      </c>
      <c r="AD28" s="62"/>
    </row>
    <row r="29" spans="19:30" ht="15.75" hidden="1">
      <c r="S29" s="80"/>
      <c r="T29" s="80"/>
      <c r="Y29" s="62" t="e">
        <f>10*Y27+Y28</f>
        <v>#N/A</v>
      </c>
      <c r="AA29" s="62">
        <f>MATCH(AA28,Q11:Q16,0)</f>
        <v>1</v>
      </c>
      <c r="AB29" s="62" t="e">
        <f>MATCH(AB28,Q11:Q16,0)</f>
        <v>#N/A</v>
      </c>
      <c r="AC29" s="62" t="e">
        <f>IF(AC28=2,MATCH(AC26,X24:X25,0)+2,4)</f>
        <v>#N/A</v>
      </c>
      <c r="AD29" s="62"/>
    </row>
    <row r="30" spans="19:30" ht="15.75" hidden="1">
      <c r="S30" s="80"/>
      <c r="T30" s="80"/>
      <c r="Y30" s="62" t="e">
        <f>MATCH(Y29,Q11:Q16,0)</f>
        <v>#N/A</v>
      </c>
      <c r="AA30" s="62">
        <f>IF(INDEX(N11:N18,AA29)=INDEX(P11:P18,AA29),0,IF(INDEX(N11:N18,AA29)&gt;INDEX(P11:P18,AA29),AA26,AA27))</f>
        <v>0</v>
      </c>
      <c r="AB30" s="62" t="e">
        <f>IF(INDEX(N11:N18,AB29)=INDEX(P11:P18,AB29),0,IF(INDEX(N11:N18,AB29)&gt;INDEX(P11:P18,AB29),AB26,AB27))</f>
        <v>#N/A</v>
      </c>
      <c r="AC30" s="62" t="e">
        <f>AC27*10+AC28</f>
        <v>#N/A</v>
      </c>
      <c r="AD30" s="62" t="e">
        <f>MATCH(AC30,Q11:Q16,0)</f>
        <v>#N/A</v>
      </c>
    </row>
    <row r="31" spans="19:39" ht="15.75" hidden="1">
      <c r="S31" s="80"/>
      <c r="T31" s="80"/>
      <c r="Y31" s="62" t="e">
        <f>IF(INDEX(N11:N18,Y30)=INDEX(P11:P18,Y30),0,IF(INDEX(N11:N18,Y30)&gt;INDEX(P11:P18,Y30),Y27,Y28))</f>
        <v>#N/A</v>
      </c>
      <c r="AC31" s="62" t="e">
        <f>AC27*10+AC29</f>
        <v>#N/A</v>
      </c>
      <c r="AD31" s="62" t="e">
        <f>MATCH(AC31,Q11:Q16,0)</f>
        <v>#N/A</v>
      </c>
      <c r="AM31" s="6"/>
    </row>
    <row r="32" spans="6:39" ht="16.5" hidden="1" thickBot="1">
      <c r="F32" s="2">
        <v>1</v>
      </c>
      <c r="G32" s="2">
        <v>1</v>
      </c>
      <c r="I32" s="2">
        <v>1</v>
      </c>
      <c r="J32" s="2">
        <v>1</v>
      </c>
      <c r="L32" s="2">
        <v>1</v>
      </c>
      <c r="M32" s="2">
        <v>1</v>
      </c>
      <c r="O32" s="2">
        <v>1</v>
      </c>
      <c r="P32" s="2">
        <v>1</v>
      </c>
      <c r="R32" s="2">
        <v>1</v>
      </c>
      <c r="S32" s="80">
        <v>1</v>
      </c>
      <c r="T32" s="80"/>
      <c r="AC32" s="62" t="e">
        <f>AC28*10+AC29</f>
        <v>#N/A</v>
      </c>
      <c r="AD32" s="62" t="e">
        <f>MATCH(AC32,Q11:Q16,0)</f>
        <v>#N/A</v>
      </c>
      <c r="AM32" s="6"/>
    </row>
    <row r="33" spans="1:34" s="6" customFormat="1" ht="15.75" customHeight="1" hidden="1">
      <c r="A33" s="3"/>
      <c r="B33" s="195" t="s">
        <v>30</v>
      </c>
      <c r="C33" s="196"/>
      <c r="D33" s="197"/>
      <c r="E33" s="203" t="e">
        <f>INDEX(E5:E8,AC27)</f>
        <v>#N/A</v>
      </c>
      <c r="F33" s="203"/>
      <c r="G33" s="203"/>
      <c r="H33" s="203" t="e">
        <f>INDEX(E5:E8,AC28)</f>
        <v>#N/A</v>
      </c>
      <c r="I33" s="203"/>
      <c r="J33" s="203"/>
      <c r="K33" s="203" t="e">
        <f>INDEX(E5:E8,AC29)</f>
        <v>#N/A</v>
      </c>
      <c r="L33" s="203"/>
      <c r="M33" s="203"/>
      <c r="N33" s="212" t="s">
        <v>1</v>
      </c>
      <c r="O33" s="212"/>
      <c r="P33" s="212"/>
      <c r="Q33" s="4" t="s">
        <v>2</v>
      </c>
      <c r="R33" s="244" t="s">
        <v>3</v>
      </c>
      <c r="S33" s="245"/>
      <c r="T33" s="3"/>
      <c r="U33" s="84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s="6" customFormat="1" ht="15.75" customHeight="1" hidden="1">
      <c r="A34" s="3"/>
      <c r="B34" s="198" t="e">
        <f>E33</f>
        <v>#N/A</v>
      </c>
      <c r="C34" s="199"/>
      <c r="D34" s="199"/>
      <c r="E34" s="7" t="e">
        <f>IF(H34&gt;J34,R5,IF(H34=J34,R6,R7))</f>
        <v>#N/A</v>
      </c>
      <c r="F34" s="8" t="e">
        <f>IF(K34&gt;M34,R5,IF(K34=M34,R6,R7))</f>
        <v>#N/A</v>
      </c>
      <c r="G34" s="9" t="e">
        <f>0.001*(N34-P34)+0.00001*N34+0.00001*W22</f>
        <v>#N/A</v>
      </c>
      <c r="H34" s="10" t="e">
        <f>INDEX(N11:N18,AD30)</f>
        <v>#N/A</v>
      </c>
      <c r="I34" s="11" t="s">
        <v>0</v>
      </c>
      <c r="J34" s="12" t="e">
        <f>INDEX(P11:P18,AD30)</f>
        <v>#N/A</v>
      </c>
      <c r="K34" s="10" t="e">
        <f>INDEX(N11:N18,AD31)</f>
        <v>#N/A</v>
      </c>
      <c r="L34" s="11" t="s">
        <v>0</v>
      </c>
      <c r="M34" s="12" t="e">
        <f>INDEX(P11:P18,AD31)</f>
        <v>#N/A</v>
      </c>
      <c r="N34" s="13" t="e">
        <f>H34+K34</f>
        <v>#N/A</v>
      </c>
      <c r="O34" s="14" t="s">
        <v>0</v>
      </c>
      <c r="P34" s="15" t="e">
        <f>J34+M34</f>
        <v>#N/A</v>
      </c>
      <c r="Q34" s="16" t="e">
        <f>SUM(E34:G34)</f>
        <v>#N/A</v>
      </c>
      <c r="R34" s="240" t="e">
        <f>RANK(Q34,$Q$34:$Q$36)</f>
        <v>#N/A</v>
      </c>
      <c r="S34" s="241"/>
      <c r="T34" s="3" t="e">
        <f>R34&amp;"."</f>
        <v>#N/A</v>
      </c>
      <c r="U34" s="84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9" s="6" customFormat="1" ht="15.75" customHeight="1" hidden="1">
      <c r="A35" s="3"/>
      <c r="B35" s="198" t="e">
        <f>H33</f>
        <v>#N/A</v>
      </c>
      <c r="C35" s="199"/>
      <c r="D35" s="199"/>
      <c r="E35" s="10" t="e">
        <f>J34</f>
        <v>#N/A</v>
      </c>
      <c r="F35" s="11" t="s">
        <v>0</v>
      </c>
      <c r="G35" s="12" t="e">
        <f>H34</f>
        <v>#N/A</v>
      </c>
      <c r="H35" s="7" t="e">
        <f>IF(E35&gt;G35,R5,IF(E35=G35,R6,R7))</f>
        <v>#N/A</v>
      </c>
      <c r="I35" s="8" t="e">
        <f>IF(K35&gt;M35,R5,IF(K35=M35,R6,R7))</f>
        <v>#N/A</v>
      </c>
      <c r="J35" s="9" t="e">
        <f>0.001*(N35-P35)+0.00001*N35+0.00001*W23</f>
        <v>#N/A</v>
      </c>
      <c r="K35" s="10" t="e">
        <f>INDEX(N11:N18,AD32)</f>
        <v>#N/A</v>
      </c>
      <c r="L35" s="11" t="s">
        <v>0</v>
      </c>
      <c r="M35" s="12" t="e">
        <f>INDEX(P11:P18,AD32)</f>
        <v>#N/A</v>
      </c>
      <c r="N35" s="13" t="e">
        <f>E35+K35</f>
        <v>#N/A</v>
      </c>
      <c r="O35" s="14" t="s">
        <v>0</v>
      </c>
      <c r="P35" s="15" t="e">
        <f>G35+M35</f>
        <v>#N/A</v>
      </c>
      <c r="Q35" s="16" t="e">
        <f>SUM(H35:J35)</f>
        <v>#N/A</v>
      </c>
      <c r="R35" s="240" t="e">
        <f>RANK(Q35,$Q$34:$Q$36)</f>
        <v>#N/A</v>
      </c>
      <c r="S35" s="241"/>
      <c r="T35" s="3" t="e">
        <f>R35&amp;"."</f>
        <v>#N/A</v>
      </c>
      <c r="U35" s="84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M35"/>
    </row>
    <row r="36" spans="1:39" s="6" customFormat="1" ht="15.75" customHeight="1" hidden="1" thickBot="1">
      <c r="A36" s="3"/>
      <c r="B36" s="200" t="e">
        <f>K33</f>
        <v>#N/A</v>
      </c>
      <c r="C36" s="201"/>
      <c r="D36" s="202"/>
      <c r="E36" s="18" t="e">
        <f>M34</f>
        <v>#N/A</v>
      </c>
      <c r="F36" s="19" t="s">
        <v>0</v>
      </c>
      <c r="G36" s="20" t="e">
        <f>K34</f>
        <v>#N/A</v>
      </c>
      <c r="H36" s="18" t="e">
        <f>M35</f>
        <v>#N/A</v>
      </c>
      <c r="I36" s="19" t="s">
        <v>0</v>
      </c>
      <c r="J36" s="20" t="e">
        <f>K35</f>
        <v>#N/A</v>
      </c>
      <c r="K36" s="82" t="e">
        <f>IF(E36&gt;G36,R5,IF(E36=G36,R6,R7))</f>
        <v>#N/A</v>
      </c>
      <c r="L36" s="22" t="e">
        <f>IF(H36&gt;J36,R5,IF(H36=J36,R6,R7))</f>
        <v>#N/A</v>
      </c>
      <c r="M36" s="23" t="e">
        <f>0.001*(N36-P36)+0.00001*N36+0.00001*W25</f>
        <v>#N/A</v>
      </c>
      <c r="N36" s="24" t="e">
        <f>E36+H36</f>
        <v>#N/A</v>
      </c>
      <c r="O36" s="25" t="s">
        <v>0</v>
      </c>
      <c r="P36" s="26" t="e">
        <f>G36+J36</f>
        <v>#N/A</v>
      </c>
      <c r="Q36" s="27" t="e">
        <f>SUM(K36:M36)</f>
        <v>#N/A</v>
      </c>
      <c r="R36" s="242" t="e">
        <f>RANK(Q36,$Q$34:$Q$36)</f>
        <v>#N/A</v>
      </c>
      <c r="S36" s="243"/>
      <c r="T36" s="3" t="e">
        <f>R36&amp;"."</f>
        <v>#N/A</v>
      </c>
      <c r="U36" s="84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M36"/>
    </row>
    <row r="37" spans="6:19" ht="15.75" hidden="1">
      <c r="F37" s="95">
        <f>IF($X$26=7,F32,"")</f>
      </c>
      <c r="G37" s="95">
        <f>IF($X$26=7,G32,"")</f>
      </c>
      <c r="I37" s="95">
        <f>IF($X$26=7,I32,"")</f>
      </c>
      <c r="J37" s="95">
        <f>IF($X$26=7,J32,"")</f>
      </c>
      <c r="L37" s="95">
        <f>IF($X$26=7,L32,"")</f>
      </c>
      <c r="M37" s="95">
        <f>IF($X$26=7,M32,"")</f>
      </c>
      <c r="O37" s="95">
        <f>IF($X$26=7,O32,"")</f>
      </c>
      <c r="P37" s="95">
        <f>IF($X$26=7,P32,"")</f>
      </c>
      <c r="R37" s="95">
        <f>IF($X$26=7,R32,"")</f>
      </c>
      <c r="S37" s="95">
        <f>IF($X$26=7,S32,"")</f>
      </c>
    </row>
    <row r="38" spans="4:20" ht="15.75" customHeight="1" hidden="1">
      <c r="D38" s="95">
        <f>IF($X$26=7,B33,"")</f>
      </c>
      <c r="E38" s="271" t="e">
        <f>IF($X$26=7,E33,x)</f>
        <v>#NAME?</v>
      </c>
      <c r="F38" s="271"/>
      <c r="G38" s="271"/>
      <c r="H38" s="271" t="e">
        <f>IF($X$26=7,H33,x)</f>
        <v>#NAME?</v>
      </c>
      <c r="I38" s="271"/>
      <c r="J38" s="271"/>
      <c r="K38" s="271" t="e">
        <f>IF($X$26=7,K33,x)</f>
        <v>#NAME?</v>
      </c>
      <c r="L38" s="271"/>
      <c r="M38" s="271"/>
      <c r="N38" s="271" t="e">
        <f>IF($X$26=7,N33,x)</f>
        <v>#NAME?</v>
      </c>
      <c r="O38" s="271"/>
      <c r="P38" s="271"/>
      <c r="Q38" s="96">
        <f>IF($X$26=7,Q33,"")</f>
      </c>
      <c r="R38" s="271" t="e">
        <f>IF($X$26=7,R33,x)</f>
        <v>#NAME?</v>
      </c>
      <c r="S38" s="271"/>
      <c r="T38" s="95">
        <f>IF($X$26=7,$S$32,"")</f>
      </c>
    </row>
    <row r="39" spans="4:20" ht="15.75" customHeight="1" hidden="1">
      <c r="D39" s="95">
        <f>IF($X$26=7,B34,"")</f>
      </c>
      <c r="E39" s="97">
        <f aca="true" t="shared" si="0" ref="E39:P39">IF($X$26=7,E34,"")</f>
      </c>
      <c r="F39" s="96">
        <f t="shared" si="0"/>
      </c>
      <c r="G39" s="98">
        <f t="shared" si="0"/>
      </c>
      <c r="H39" s="97">
        <f t="shared" si="0"/>
      </c>
      <c r="I39" s="96">
        <f t="shared" si="0"/>
      </c>
      <c r="J39" s="98">
        <f t="shared" si="0"/>
      </c>
      <c r="K39" s="97">
        <f t="shared" si="0"/>
      </c>
      <c r="L39" s="96">
        <f t="shared" si="0"/>
      </c>
      <c r="M39" s="98">
        <f t="shared" si="0"/>
      </c>
      <c r="N39" s="97">
        <f t="shared" si="0"/>
      </c>
      <c r="O39" s="96">
        <f t="shared" si="0"/>
      </c>
      <c r="P39" s="98">
        <f t="shared" si="0"/>
      </c>
      <c r="Q39" s="96">
        <f>IF($X$26=7,Q34,"")</f>
      </c>
      <c r="R39" s="271" t="e">
        <f>IF($X$26=7,T34,x)</f>
        <v>#NAME?</v>
      </c>
      <c r="S39" s="271"/>
      <c r="T39" s="95">
        <f>IF($X$26=7,$S$32,"")</f>
      </c>
    </row>
    <row r="40" spans="4:20" ht="15.75" customHeight="1" hidden="1">
      <c r="D40" s="95">
        <f>IF($X$26=7,B35,"")</f>
      </c>
      <c r="E40" s="97">
        <f aca="true" t="shared" si="1" ref="E40:P40">IF($X$26=7,E35,"")</f>
      </c>
      <c r="F40" s="96">
        <f t="shared" si="1"/>
      </c>
      <c r="G40" s="98">
        <f t="shared" si="1"/>
      </c>
      <c r="H40" s="97">
        <f t="shared" si="1"/>
      </c>
      <c r="I40" s="96">
        <f t="shared" si="1"/>
      </c>
      <c r="J40" s="98">
        <f t="shared" si="1"/>
      </c>
      <c r="K40" s="97">
        <f t="shared" si="1"/>
      </c>
      <c r="L40" s="96">
        <f t="shared" si="1"/>
      </c>
      <c r="M40" s="98">
        <f t="shared" si="1"/>
      </c>
      <c r="N40" s="97">
        <f t="shared" si="1"/>
      </c>
      <c r="O40" s="96">
        <f t="shared" si="1"/>
      </c>
      <c r="P40" s="98">
        <f t="shared" si="1"/>
      </c>
      <c r="Q40" s="96">
        <f>IF($X$26=7,Q35,"")</f>
      </c>
      <c r="R40" s="271" t="e">
        <f>IF($X$26=7,T35,x)</f>
        <v>#NAME?</v>
      </c>
      <c r="S40" s="271"/>
      <c r="T40" s="95">
        <f>IF($X$26=7,$S$32,"")</f>
      </c>
    </row>
    <row r="41" spans="4:20" ht="15.75" customHeight="1" hidden="1">
      <c r="D41" s="95">
        <f>IF($X$26=7,B36,"")</f>
      </c>
      <c r="E41" s="97">
        <f aca="true" t="shared" si="2" ref="E41:P41">IF($X$26=7,E36,"")</f>
      </c>
      <c r="F41" s="96">
        <f t="shared" si="2"/>
      </c>
      <c r="G41" s="98">
        <f t="shared" si="2"/>
      </c>
      <c r="H41" s="97">
        <f t="shared" si="2"/>
      </c>
      <c r="I41" s="96">
        <f t="shared" si="2"/>
      </c>
      <c r="J41" s="98">
        <f t="shared" si="2"/>
      </c>
      <c r="K41" s="97">
        <f t="shared" si="2"/>
      </c>
      <c r="L41" s="96">
        <f t="shared" si="2"/>
      </c>
      <c r="M41" s="98">
        <f t="shared" si="2"/>
      </c>
      <c r="N41" s="97">
        <f t="shared" si="2"/>
      </c>
      <c r="O41" s="96">
        <f t="shared" si="2"/>
      </c>
      <c r="P41" s="98">
        <f t="shared" si="2"/>
      </c>
      <c r="Q41" s="96">
        <f>IF($X$26=7,Q36,"")</f>
      </c>
      <c r="R41" s="271" t="e">
        <f>IF($X$26=7,T36,x)</f>
        <v>#NAME?</v>
      </c>
      <c r="S41" s="271"/>
      <c r="T41" s="95">
        <f>IF($X$26=7,$S$32,"")</f>
      </c>
    </row>
    <row r="42" ht="15.75" hidden="1">
      <c r="S42" s="95">
        <f>IF($X$26=7,$S$32,"")</f>
      </c>
    </row>
    <row r="43" ht="19.5" customHeight="1" thickBot="1"/>
    <row r="44" spans="2:19" ht="30" customHeight="1">
      <c r="B44" s="195" t="s">
        <v>34</v>
      </c>
      <c r="C44" s="196"/>
      <c r="D44" s="197"/>
      <c r="E44" s="203">
        <f>H13</f>
      </c>
      <c r="F44" s="203"/>
      <c r="G44" s="203"/>
      <c r="H44" s="203">
        <f>K13</f>
      </c>
      <c r="I44" s="203"/>
      <c r="J44" s="203"/>
      <c r="K44" s="203">
        <f>K16</f>
      </c>
      <c r="L44" s="203"/>
      <c r="M44" s="203"/>
      <c r="N44" s="212" t="s">
        <v>1</v>
      </c>
      <c r="O44" s="212"/>
      <c r="P44" s="212"/>
      <c r="Q44" s="4" t="s">
        <v>2</v>
      </c>
      <c r="R44" s="244" t="s">
        <v>3</v>
      </c>
      <c r="S44" s="245"/>
    </row>
    <row r="45" spans="2:20" ht="30" customHeight="1">
      <c r="B45" s="198">
        <f>E44</f>
      </c>
      <c r="C45" s="199"/>
      <c r="D45" s="199"/>
      <c r="E45" s="7">
        <f>IF(H45&gt;J45,R5,IF(H45=J45,R6,R7))</f>
        <v>1</v>
      </c>
      <c r="F45" s="8">
        <f>IF(K45&gt;M45,R5,IF(K45=M45,R6,R7))</f>
        <v>1</v>
      </c>
      <c r="G45" s="9" t="e">
        <f>0.001*(N45-P45)+0.00001*N45</f>
        <v>#VALUE!</v>
      </c>
      <c r="H45" s="10">
        <f>IF(P13="","",N13)</f>
      </c>
      <c r="I45" s="11" t="s">
        <v>0</v>
      </c>
      <c r="J45" s="12">
        <f>IF(P13="","",P13)</f>
      </c>
      <c r="K45" s="10">
        <f>IF(P16="","",N16)</f>
      </c>
      <c r="L45" s="11" t="s">
        <v>0</v>
      </c>
      <c r="M45" s="12">
        <f>IF(P16="","",P16)</f>
      </c>
      <c r="N45" s="13">
        <f>IF(P19="","",H45+K45)</f>
      </c>
      <c r="O45" s="14" t="s">
        <v>0</v>
      </c>
      <c r="P45" s="15">
        <f>IF(P19="","",J45+M45)</f>
      </c>
      <c r="Q45" s="16">
        <f>IF(P45="","",SUM(E45:G45))</f>
      </c>
      <c r="R45" s="240">
        <f>IF(Q45="","",RANK(Q45,Q45:Q47)&amp;".")</f>
      </c>
      <c r="S45" s="241"/>
      <c r="T45" s="142" t="e">
        <f>RANK(Q45,$Q$45:$Q$47)</f>
        <v>#VALUE!</v>
      </c>
    </row>
    <row r="46" spans="2:20" ht="30" customHeight="1">
      <c r="B46" s="198">
        <f>H44</f>
      </c>
      <c r="C46" s="199"/>
      <c r="D46" s="199"/>
      <c r="E46" s="10">
        <f>J45</f>
      </c>
      <c r="F46" s="11" t="s">
        <v>0</v>
      </c>
      <c r="G46" s="12">
        <f>H45</f>
      </c>
      <c r="H46" s="7">
        <f>IF(E46&gt;G46,R5,IF(E46=G46,R6,R7))</f>
        <v>1</v>
      </c>
      <c r="I46" s="8">
        <f>IF(K46&gt;M46,R5,IF(K46=M46,R6,R7))</f>
        <v>1</v>
      </c>
      <c r="J46" s="9" t="e">
        <f>0.001*(N46-P46)+0.00001*N46</f>
        <v>#VALUE!</v>
      </c>
      <c r="K46" s="10">
        <f>IF(P19="","",N19)</f>
      </c>
      <c r="L46" s="11" t="s">
        <v>0</v>
      </c>
      <c r="M46" s="12">
        <f>IF(P19="","",P19)</f>
      </c>
      <c r="N46" s="13">
        <f>IF(P19="","",E46+K46)</f>
      </c>
      <c r="O46" s="14" t="s">
        <v>0</v>
      </c>
      <c r="P46" s="15">
        <f>IF(P19="","",G46+M46)</f>
      </c>
      <c r="Q46" s="16">
        <f>IF(P46="","",SUM(H46:J46))</f>
      </c>
      <c r="R46" s="240">
        <f>IF(Q46="","",RANK(Q46,Q45:Q47)&amp;".")</f>
      </c>
      <c r="S46" s="241"/>
      <c r="T46" s="142" t="e">
        <f>RANK(Q46,$Q$45:$Q$47)</f>
        <v>#VALUE!</v>
      </c>
    </row>
    <row r="47" spans="2:39" ht="30" customHeight="1" thickBot="1">
      <c r="B47" s="200">
        <f>K44</f>
      </c>
      <c r="C47" s="201"/>
      <c r="D47" s="202"/>
      <c r="E47" s="18">
        <f>M45</f>
      </c>
      <c r="F47" s="19" t="s">
        <v>0</v>
      </c>
      <c r="G47" s="20">
        <f>K45</f>
      </c>
      <c r="H47" s="18">
        <f>M46</f>
      </c>
      <c r="I47" s="19" t="s">
        <v>0</v>
      </c>
      <c r="J47" s="20">
        <f>K46</f>
      </c>
      <c r="K47" s="21">
        <f>IF(E47&gt;G47,R5,IF(E47=G47,R6,R7))</f>
        <v>1</v>
      </c>
      <c r="L47" s="22">
        <f>IF(H47&gt;J47,R5,IF(H47=J47,R6,R7))</f>
        <v>1</v>
      </c>
      <c r="M47" s="23" t="e">
        <f>0.001*(N47-P47)+0.00001*N47</f>
        <v>#VALUE!</v>
      </c>
      <c r="N47" s="24">
        <f>IF(P19="","",E47+H47)</f>
      </c>
      <c r="O47" s="25" t="s">
        <v>0</v>
      </c>
      <c r="P47" s="26">
        <f>IF(P19="","",G47+J47)</f>
      </c>
      <c r="Q47" s="27">
        <f>IF(P47="","",SUM(K47:M47))</f>
      </c>
      <c r="R47" s="268">
        <f>IF(Q47="","",RANK(Q47,Q45:Q47)&amp;".")</f>
      </c>
      <c r="S47" s="269"/>
      <c r="T47" s="142" t="e">
        <f>RANK(Q47,$Q$45:$Q$47)</f>
        <v>#VALUE!</v>
      </c>
      <c r="AM47" s="6"/>
    </row>
    <row r="48" ht="19.5" customHeight="1" thickBot="1">
      <c r="AM48" s="6"/>
    </row>
    <row r="49" spans="1:21" s="6" customFormat="1" ht="19.5" customHeight="1">
      <c r="A49" s="3"/>
      <c r="B49" s="3"/>
      <c r="C49" s="3"/>
      <c r="D49" s="29"/>
      <c r="E49" s="229" t="s">
        <v>116</v>
      </c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1"/>
      <c r="Q49" s="29"/>
      <c r="R49" s="29"/>
      <c r="S49" s="3"/>
      <c r="T49" s="3"/>
      <c r="U49" s="3"/>
    </row>
    <row r="50" spans="1:21" s="6" customFormat="1" ht="19.5" customHeight="1">
      <c r="A50" s="3"/>
      <c r="B50" s="3"/>
      <c r="C50" s="3"/>
      <c r="D50" s="47" t="e">
        <v>#REF!</v>
      </c>
      <c r="E50" s="99" t="s">
        <v>44</v>
      </c>
      <c r="F50" s="219" t="s">
        <v>129</v>
      </c>
      <c r="G50" s="219"/>
      <c r="H50" s="209">
        <f>IF(P18="","",IF(AH22=3,B22,IF(AH23=3,B23,IF(AH24=3,B24,B25))))</f>
      </c>
      <c r="I50" s="209"/>
      <c r="J50" s="209"/>
      <c r="K50" s="210">
        <f>IF(P19="","",IF(T45=3,B45,IF(T46=3,B46,B47)))</f>
      </c>
      <c r="L50" s="210"/>
      <c r="M50" s="210"/>
      <c r="N50" s="39"/>
      <c r="O50" s="14" t="s">
        <v>0</v>
      </c>
      <c r="P50" s="31"/>
      <c r="Q50" s="32"/>
      <c r="R50" s="32"/>
      <c r="S50" s="3"/>
      <c r="T50" s="3"/>
      <c r="U50" s="3"/>
    </row>
    <row r="51" spans="1:39" s="6" customFormat="1" ht="19.5" customHeight="1">
      <c r="A51" s="3"/>
      <c r="B51" s="3"/>
      <c r="C51" s="3"/>
      <c r="D51" s="47" t="e">
        <v>#REF!</v>
      </c>
      <c r="E51" s="99" t="s">
        <v>45</v>
      </c>
      <c r="F51" s="219" t="s">
        <v>43</v>
      </c>
      <c r="G51" s="219"/>
      <c r="H51" s="209">
        <f>IF(P18="","",IF(AH22=2,B22,IF(AH23=2,B23,IF(AH24=2,B24,B25))))</f>
      </c>
      <c r="I51" s="209"/>
      <c r="J51" s="209"/>
      <c r="K51" s="210">
        <f>IF(P19="","",IF(T45=2,B45,IF(T46=2,B46,B47)))</f>
      </c>
      <c r="L51" s="210"/>
      <c r="M51" s="210"/>
      <c r="N51" s="39"/>
      <c r="O51" s="14" t="s">
        <v>0</v>
      </c>
      <c r="P51" s="31"/>
      <c r="Q51" s="32"/>
      <c r="R51" s="32"/>
      <c r="S51" s="3"/>
      <c r="T51" s="3"/>
      <c r="U51" s="3"/>
      <c r="AM51"/>
    </row>
    <row r="52" spans="1:39" s="6" customFormat="1" ht="19.5" customHeight="1" thickBot="1">
      <c r="A52" s="3"/>
      <c r="B52" s="3"/>
      <c r="C52" s="3"/>
      <c r="D52" s="47" t="e">
        <v>#REF!</v>
      </c>
      <c r="E52" s="101" t="s">
        <v>83</v>
      </c>
      <c r="F52" s="217" t="s">
        <v>46</v>
      </c>
      <c r="G52" s="217"/>
      <c r="H52" s="235">
        <f>IF(P18="","",IF(AH22=1,B22,IF(AH23=1,B23,IF(AH24=1,B24,B25))))</f>
      </c>
      <c r="I52" s="235"/>
      <c r="J52" s="235"/>
      <c r="K52" s="248">
        <f>IF(P19="","",IF(T45=1,B45,IF(T46=1,B46,B47)))</f>
      </c>
      <c r="L52" s="248"/>
      <c r="M52" s="248"/>
      <c r="N52" s="50"/>
      <c r="O52" s="43" t="s">
        <v>0</v>
      </c>
      <c r="P52" s="44"/>
      <c r="Q52" s="32"/>
      <c r="R52" s="32"/>
      <c r="S52" s="3"/>
      <c r="T52" s="3"/>
      <c r="U52" s="3"/>
      <c r="AM52"/>
    </row>
    <row r="53" spans="2:34" ht="19.5" customHeight="1" thickBot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U53" s="1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2:34" ht="19.5" customHeight="1">
      <c r="B54" s="3"/>
      <c r="C54" s="3"/>
      <c r="D54" s="29"/>
      <c r="E54" s="29"/>
      <c r="F54" s="29"/>
      <c r="G54" s="227" t="s">
        <v>112</v>
      </c>
      <c r="H54" s="212"/>
      <c r="I54" s="212"/>
      <c r="J54" s="228"/>
      <c r="K54" s="29"/>
      <c r="L54" s="29"/>
      <c r="M54" s="29"/>
      <c r="N54" s="29"/>
      <c r="O54" s="29"/>
      <c r="P54" s="29"/>
      <c r="Q54" s="29"/>
      <c r="R54" s="29"/>
      <c r="U54" s="1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2:34" ht="19.5" customHeight="1">
      <c r="B55" s="3"/>
      <c r="C55" s="3"/>
      <c r="D55" s="29"/>
      <c r="E55" s="29"/>
      <c r="F55" s="29"/>
      <c r="G55" s="99" t="s">
        <v>27</v>
      </c>
      <c r="H55" s="210">
        <f>IF(P52="","",IF(N52&gt;P52,H52,K52))</f>
      </c>
      <c r="I55" s="210"/>
      <c r="J55" s="263"/>
      <c r="K55" s="29"/>
      <c r="L55" s="29"/>
      <c r="M55" s="29"/>
      <c r="N55" s="29"/>
      <c r="O55" s="29"/>
      <c r="P55" s="29"/>
      <c r="Q55" s="29"/>
      <c r="R55" s="29"/>
      <c r="U55" s="1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2:34" ht="19.5" customHeight="1">
      <c r="B56" s="3"/>
      <c r="C56" s="3"/>
      <c r="D56" s="29"/>
      <c r="E56" s="29"/>
      <c r="F56" s="29"/>
      <c r="G56" s="99" t="s">
        <v>28</v>
      </c>
      <c r="H56" s="210">
        <f>IF(P52="","",IF(N52&gt;P52,K52,H52))</f>
      </c>
      <c r="I56" s="210"/>
      <c r="J56" s="263"/>
      <c r="K56" s="29"/>
      <c r="L56" s="29"/>
      <c r="M56" s="29"/>
      <c r="N56" s="29"/>
      <c r="O56" s="29"/>
      <c r="P56" s="29"/>
      <c r="Q56" s="29"/>
      <c r="R56" s="29"/>
      <c r="U56" s="1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2:34" ht="19.5" customHeight="1">
      <c r="B57" s="3"/>
      <c r="C57" s="3"/>
      <c r="D57" s="29"/>
      <c r="E57" s="29"/>
      <c r="F57" s="29"/>
      <c r="G57" s="99" t="s">
        <v>29</v>
      </c>
      <c r="H57" s="210">
        <f>IF(P51="","",IF(N51&gt;P51,H51,K51))</f>
      </c>
      <c r="I57" s="210"/>
      <c r="J57" s="263"/>
      <c r="K57" s="29"/>
      <c r="L57" s="29"/>
      <c r="M57" s="29"/>
      <c r="N57" s="29"/>
      <c r="O57" s="29"/>
      <c r="P57" s="29"/>
      <c r="Q57" s="29"/>
      <c r="R57" s="29"/>
      <c r="U57" s="1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2:34" ht="19.5" customHeight="1">
      <c r="B58" s="3"/>
      <c r="C58" s="3"/>
      <c r="D58" s="29"/>
      <c r="E58" s="29"/>
      <c r="F58" s="29"/>
      <c r="G58" s="99" t="s">
        <v>31</v>
      </c>
      <c r="H58" s="210">
        <f>IF(P51="","",IF(N51&gt;P51,K51,H51))</f>
      </c>
      <c r="I58" s="210"/>
      <c r="J58" s="263"/>
      <c r="K58" s="29"/>
      <c r="L58" s="29"/>
      <c r="M58" s="29"/>
      <c r="N58" s="29"/>
      <c r="O58" s="29"/>
      <c r="P58" s="29"/>
      <c r="Q58" s="29"/>
      <c r="R58" s="29"/>
      <c r="U58" s="1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2:34" ht="19.5" customHeight="1">
      <c r="B59" s="3"/>
      <c r="C59" s="3"/>
      <c r="D59" s="29"/>
      <c r="E59" s="29"/>
      <c r="F59" s="29"/>
      <c r="G59" s="99" t="s">
        <v>32</v>
      </c>
      <c r="H59" s="210">
        <f>IF(P50="","",IF(N50&gt;P50,H50,K50))</f>
      </c>
      <c r="I59" s="210"/>
      <c r="J59" s="263"/>
      <c r="K59" s="29"/>
      <c r="L59" s="29"/>
      <c r="M59" s="29"/>
      <c r="N59" s="29"/>
      <c r="O59" s="29"/>
      <c r="P59" s="29"/>
      <c r="Q59" s="29"/>
      <c r="R59" s="29"/>
      <c r="U59" s="1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2:34" ht="19.5" customHeight="1">
      <c r="B60" s="3"/>
      <c r="C60" s="3"/>
      <c r="D60" s="29"/>
      <c r="E60" s="29"/>
      <c r="F60" s="29"/>
      <c r="G60" s="99" t="s">
        <v>33</v>
      </c>
      <c r="H60" s="210">
        <f>IF(P50="","",IF(N50&gt;P50,K50,H50))</f>
      </c>
      <c r="I60" s="210"/>
      <c r="J60" s="263"/>
      <c r="K60" s="29"/>
      <c r="L60" s="29"/>
      <c r="M60" s="29"/>
      <c r="N60" s="29"/>
      <c r="O60" s="29"/>
      <c r="P60" s="29"/>
      <c r="Q60" s="29"/>
      <c r="R60" s="29"/>
      <c r="U60" s="1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2:34" ht="19.5" customHeight="1" thickBot="1">
      <c r="B61" s="3"/>
      <c r="C61" s="3"/>
      <c r="D61" s="29"/>
      <c r="E61" s="29"/>
      <c r="F61" s="29"/>
      <c r="G61" s="102" t="s">
        <v>37</v>
      </c>
      <c r="H61" s="213">
        <f>IF(P18="","",IF(AH22=4,B22,IF(AH23=4,B23,IF(AH24=4,B24,B25))))</f>
      </c>
      <c r="I61" s="213"/>
      <c r="J61" s="264"/>
      <c r="K61" s="29"/>
      <c r="L61" s="29"/>
      <c r="M61" s="29"/>
      <c r="N61" s="29"/>
      <c r="O61" s="29"/>
      <c r="P61" s="29"/>
      <c r="Q61" s="29"/>
      <c r="R61" s="29"/>
      <c r="U61" s="1"/>
      <c r="V61"/>
      <c r="W61"/>
      <c r="X61"/>
      <c r="Y61"/>
      <c r="Z61"/>
      <c r="AA61"/>
      <c r="AB61"/>
      <c r="AC61"/>
      <c r="AD61"/>
      <c r="AE61"/>
      <c r="AF61"/>
      <c r="AG61"/>
      <c r="AH61"/>
    </row>
  </sheetData>
  <sheetProtection sheet="1" objects="1" scenarios="1"/>
  <mergeCells count="106">
    <mergeCell ref="B2:U2"/>
    <mergeCell ref="H59:J59"/>
    <mergeCell ref="H60:J60"/>
    <mergeCell ref="H61:J61"/>
    <mergeCell ref="K15:M15"/>
    <mergeCell ref="H18:J18"/>
    <mergeCell ref="H55:J55"/>
    <mergeCell ref="H56:J56"/>
    <mergeCell ref="H57:J57"/>
    <mergeCell ref="H58:J58"/>
    <mergeCell ref="B35:D35"/>
    <mergeCell ref="B25:D25"/>
    <mergeCell ref="H12:J12"/>
    <mergeCell ref="K17:M17"/>
    <mergeCell ref="F19:G19"/>
    <mergeCell ref="H13:J13"/>
    <mergeCell ref="F52:G52"/>
    <mergeCell ref="H52:J52"/>
    <mergeCell ref="K52:M52"/>
    <mergeCell ref="K6:M6"/>
    <mergeCell ref="F50:G50"/>
    <mergeCell ref="H50:J50"/>
    <mergeCell ref="K50:M50"/>
    <mergeCell ref="H33:J33"/>
    <mergeCell ref="K18:M18"/>
    <mergeCell ref="E8:G8"/>
    <mergeCell ref="R5:S5"/>
    <mergeCell ref="R6:S6"/>
    <mergeCell ref="R7:S7"/>
    <mergeCell ref="O4:S4"/>
    <mergeCell ref="O5:Q5"/>
    <mergeCell ref="O6:Q6"/>
    <mergeCell ref="F51:G51"/>
    <mergeCell ref="H51:J51"/>
    <mergeCell ref="K51:M51"/>
    <mergeCell ref="H14:J14"/>
    <mergeCell ref="F15:G15"/>
    <mergeCell ref="F17:G17"/>
    <mergeCell ref="H17:J17"/>
    <mergeCell ref="K44:M44"/>
    <mergeCell ref="E49:P49"/>
    <mergeCell ref="H15:J15"/>
    <mergeCell ref="D4:G4"/>
    <mergeCell ref="J4:M4"/>
    <mergeCell ref="E10:P10"/>
    <mergeCell ref="E5:G5"/>
    <mergeCell ref="E6:G6"/>
    <mergeCell ref="E7:G7"/>
    <mergeCell ref="K5:M5"/>
    <mergeCell ref="K7:M7"/>
    <mergeCell ref="G54:J54"/>
    <mergeCell ref="B21:D21"/>
    <mergeCell ref="B22:D22"/>
    <mergeCell ref="B23:D23"/>
    <mergeCell ref="B24:D24"/>
    <mergeCell ref="E21:G21"/>
    <mergeCell ref="H21:J21"/>
    <mergeCell ref="E33:G33"/>
    <mergeCell ref="B44:D44"/>
    <mergeCell ref="H44:J44"/>
    <mergeCell ref="R40:S40"/>
    <mergeCell ref="R38:S38"/>
    <mergeCell ref="Q21:S21"/>
    <mergeCell ref="R35:S35"/>
    <mergeCell ref="R36:S36"/>
    <mergeCell ref="K33:M33"/>
    <mergeCell ref="N33:P33"/>
    <mergeCell ref="R33:S33"/>
    <mergeCell ref="R34:S34"/>
    <mergeCell ref="K12:M12"/>
    <mergeCell ref="O7:Q7"/>
    <mergeCell ref="F13:G13"/>
    <mergeCell ref="H11:J11"/>
    <mergeCell ref="N21:P21"/>
    <mergeCell ref="K21:M21"/>
    <mergeCell ref="K13:M13"/>
    <mergeCell ref="K11:M11"/>
    <mergeCell ref="E38:G38"/>
    <mergeCell ref="H38:J38"/>
    <mergeCell ref="B36:D36"/>
    <mergeCell ref="B33:D33"/>
    <mergeCell ref="B34:D34"/>
    <mergeCell ref="D1:R1"/>
    <mergeCell ref="F14:G14"/>
    <mergeCell ref="F12:G12"/>
    <mergeCell ref="F11:G11"/>
    <mergeCell ref="K14:M14"/>
    <mergeCell ref="F18:G18"/>
    <mergeCell ref="F16:G16"/>
    <mergeCell ref="K16:M16"/>
    <mergeCell ref="K19:M19"/>
    <mergeCell ref="R41:S41"/>
    <mergeCell ref="K38:M38"/>
    <mergeCell ref="N38:P38"/>
    <mergeCell ref="R39:S39"/>
    <mergeCell ref="H16:J16"/>
    <mergeCell ref="H19:J19"/>
    <mergeCell ref="N44:P44"/>
    <mergeCell ref="B45:D45"/>
    <mergeCell ref="R44:S44"/>
    <mergeCell ref="R45:S45"/>
    <mergeCell ref="R46:S46"/>
    <mergeCell ref="R47:S47"/>
    <mergeCell ref="B46:D46"/>
    <mergeCell ref="B47:D47"/>
    <mergeCell ref="E44:G44"/>
  </mergeCells>
  <conditionalFormatting sqref="Q39:Q41">
    <cfRule type="cellIs" priority="1" dxfId="81" operator="equal" stopIfTrue="1">
      <formula>Q34</formula>
    </cfRule>
  </conditionalFormatting>
  <conditionalFormatting sqref="E38:S38">
    <cfRule type="cellIs" priority="2" dxfId="82" operator="equal" stopIfTrue="1">
      <formula>E33</formula>
    </cfRule>
  </conditionalFormatting>
  <conditionalFormatting sqref="E39 H40 K41">
    <cfRule type="cellIs" priority="3" dxfId="83" operator="equal" stopIfTrue="1">
      <formula>E34</formula>
    </cfRule>
  </conditionalFormatting>
  <conditionalFormatting sqref="F39 I40 L41">
    <cfRule type="cellIs" priority="4" dxfId="84" operator="equal" stopIfTrue="1">
      <formula>F34</formula>
    </cfRule>
  </conditionalFormatting>
  <conditionalFormatting sqref="G39 J40 M41">
    <cfRule type="cellIs" priority="5" dxfId="85" operator="equal" stopIfTrue="1">
      <formula>G34</formula>
    </cfRule>
  </conditionalFormatting>
  <conditionalFormatting sqref="H39 H41 E40:E41 K39:K40">
    <cfRule type="cellIs" priority="6" dxfId="86" operator="equal" stopIfTrue="1">
      <formula>E34</formula>
    </cfRule>
  </conditionalFormatting>
  <conditionalFormatting sqref="I39 F40:F41 I41 L39:L40">
    <cfRule type="cellIs" priority="7" dxfId="87" operator="equal" stopIfTrue="1">
      <formula>F34</formula>
    </cfRule>
  </conditionalFormatting>
  <conditionalFormatting sqref="G40:G41 J41 J39 M39:M40">
    <cfRule type="cellIs" priority="8" dxfId="88" operator="equal" stopIfTrue="1">
      <formula>G34</formula>
    </cfRule>
  </conditionalFormatting>
  <conditionalFormatting sqref="F37:G37 I37:J37 L37:M37 O37:P37 R37:S37">
    <cfRule type="cellIs" priority="9" dxfId="89" operator="equal" stopIfTrue="1">
      <formula>F32</formula>
    </cfRule>
  </conditionalFormatting>
  <conditionalFormatting sqref="R39:S41">
    <cfRule type="cellIs" priority="10" dxfId="81" operator="equal" stopIfTrue="1">
      <formula>T34</formula>
    </cfRule>
  </conditionalFormatting>
  <conditionalFormatting sqref="N39:N41">
    <cfRule type="cellIs" priority="11" dxfId="90" operator="equal" stopIfTrue="1">
      <formula>N34</formula>
    </cfRule>
  </conditionalFormatting>
  <conditionalFormatting sqref="O39:O41">
    <cfRule type="cellIs" priority="12" dxfId="91" operator="equal" stopIfTrue="1">
      <formula>O34</formula>
    </cfRule>
  </conditionalFormatting>
  <conditionalFormatting sqref="P39:P41">
    <cfRule type="cellIs" priority="13" dxfId="92" operator="equal" stopIfTrue="1">
      <formula>P34</formula>
    </cfRule>
  </conditionalFormatting>
  <conditionalFormatting sqref="D38">
    <cfRule type="cellIs" priority="14" dxfId="81" operator="equal" stopIfTrue="1">
      <formula>B33</formula>
    </cfRule>
  </conditionalFormatting>
  <conditionalFormatting sqref="D41">
    <cfRule type="cellIs" priority="15" dxfId="82" operator="equal" stopIfTrue="1">
      <formula>$B36</formula>
    </cfRule>
  </conditionalFormatting>
  <conditionalFormatting sqref="D39">
    <cfRule type="cellIs" priority="16" dxfId="82" operator="equal" stopIfTrue="1">
      <formula>$B$34</formula>
    </cfRule>
  </conditionalFormatting>
  <conditionalFormatting sqref="D40">
    <cfRule type="cellIs" priority="17" dxfId="82" operator="equal" stopIfTrue="1">
      <formula>$B$35</formula>
    </cfRule>
  </conditionalFormatting>
  <conditionalFormatting sqref="T38:T41">
    <cfRule type="cellIs" priority="18" dxfId="93" operator="equal" stopIfTrue="1">
      <formula>$S$32</formula>
    </cfRule>
  </conditionalFormatting>
  <conditionalFormatting sqref="S42">
    <cfRule type="cellIs" priority="19" dxfId="80" operator="equal" stopIfTrue="1">
      <formula>$S$32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D32"/>
  <sheetViews>
    <sheetView showGridLines="0" zoomScalePageLayoutView="0" workbookViewId="0" topLeftCell="A1">
      <selection activeCell="E5" sqref="E5:G5"/>
    </sheetView>
  </sheetViews>
  <sheetFormatPr defaultColWidth="9.140625" defaultRowHeight="12.75"/>
  <cols>
    <col min="1" max="2" width="6.7109375" style="2" customWidth="1"/>
    <col min="3" max="3" width="1.7109375" style="2" customWidth="1"/>
    <col min="4" max="5" width="6.7109375" style="2" customWidth="1"/>
    <col min="6" max="6" width="1.7109375" style="2" customWidth="1"/>
    <col min="7" max="8" width="6.7109375" style="2" customWidth="1"/>
    <col min="9" max="9" width="1.7109375" style="2" customWidth="1"/>
    <col min="10" max="11" width="6.7109375" style="2" customWidth="1"/>
    <col min="12" max="12" width="1.7109375" style="2" customWidth="1"/>
    <col min="13" max="13" width="6.7109375" style="2" customWidth="1"/>
    <col min="14" max="14" width="9.140625" style="1" customWidth="1"/>
    <col min="17" max="17" width="15.7109375" style="164" customWidth="1"/>
    <col min="18" max="18" width="3.7109375" style="164" customWidth="1"/>
    <col min="19" max="20" width="2.7109375" style="2" customWidth="1"/>
    <col min="21" max="21" width="15.7109375" style="164" customWidth="1"/>
    <col min="22" max="22" width="3.7109375" style="2" customWidth="1"/>
    <col min="23" max="24" width="2.7109375" style="2" customWidth="1"/>
    <col min="25" max="25" width="15.7109375" style="164" customWidth="1"/>
    <col min="26" max="26" width="3.7109375" style="2" customWidth="1"/>
    <col min="27" max="27" width="15.7109375" style="1" customWidth="1"/>
    <col min="28" max="28" width="9.140625" style="1" customWidth="1"/>
    <col min="29" max="29" width="9.140625" style="62" hidden="1" customWidth="1"/>
  </cols>
  <sheetData>
    <row r="1" spans="1:27" ht="33.75">
      <c r="A1" s="215" t="s">
        <v>134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Q1" s="215" t="s">
        <v>149</v>
      </c>
      <c r="R1" s="215"/>
      <c r="S1" s="215"/>
      <c r="T1" s="215"/>
      <c r="U1" s="215"/>
      <c r="V1" s="215"/>
      <c r="W1" s="215"/>
      <c r="X1" s="215"/>
      <c r="Y1" s="215"/>
      <c r="Z1" s="215"/>
      <c r="AA1" s="163"/>
    </row>
    <row r="2" spans="1:13" ht="15.75" customHeight="1">
      <c r="A2" s="279" t="s">
        <v>140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7:18" ht="15.75" customHeight="1" thickBot="1">
      <c r="Q3" s="285" t="s">
        <v>141</v>
      </c>
      <c r="R3" s="285"/>
    </row>
    <row r="4" spans="1:29" s="6" customFormat="1" ht="19.5" customHeight="1">
      <c r="A4" s="3"/>
      <c r="B4" s="3"/>
      <c r="C4" s="3"/>
      <c r="D4" s="229" t="s">
        <v>4</v>
      </c>
      <c r="E4" s="230"/>
      <c r="F4" s="230"/>
      <c r="G4" s="231"/>
      <c r="H4" s="3"/>
      <c r="I4" s="3"/>
      <c r="J4" s="229" t="s">
        <v>4</v>
      </c>
      <c r="K4" s="230"/>
      <c r="L4" s="230"/>
      <c r="M4" s="231"/>
      <c r="N4" s="3"/>
      <c r="Q4" s="165">
        <f>IF(E5="","",E5)</f>
      </c>
      <c r="R4" s="166">
        <f>IF(K11="","",K11)</f>
      </c>
      <c r="S4" s="167"/>
      <c r="T4" s="29"/>
      <c r="U4" s="145"/>
      <c r="V4" s="29"/>
      <c r="W4" s="29"/>
      <c r="X4" s="29"/>
      <c r="Y4" s="145"/>
      <c r="Z4" s="29"/>
      <c r="AA4" s="3"/>
      <c r="AB4" s="3"/>
      <c r="AC4" s="61">
        <f>IF(R5="",1,IF(R4=R5,1,IF(R4&gt;R5,Q4,Q5)))</f>
        <v>1</v>
      </c>
    </row>
    <row r="5" spans="1:29" s="6" customFormat="1" ht="19.5" customHeight="1" thickBot="1">
      <c r="A5" s="3"/>
      <c r="B5" s="3"/>
      <c r="C5" s="3"/>
      <c r="D5" s="125">
        <v>1</v>
      </c>
      <c r="E5" s="222"/>
      <c r="F5" s="222"/>
      <c r="G5" s="223"/>
      <c r="H5" s="3"/>
      <c r="I5" s="3"/>
      <c r="J5" s="125">
        <v>5</v>
      </c>
      <c r="K5" s="222"/>
      <c r="L5" s="222"/>
      <c r="M5" s="223"/>
      <c r="N5" s="3"/>
      <c r="Q5" s="168">
        <f>IF(E6="","",E6)</f>
      </c>
      <c r="R5" s="169">
        <f>IF(M11="","",M11)</f>
      </c>
      <c r="S5" s="29"/>
      <c r="T5" s="170"/>
      <c r="U5" s="282" t="s">
        <v>144</v>
      </c>
      <c r="V5" s="282"/>
      <c r="W5" s="29"/>
      <c r="X5" s="29"/>
      <c r="Y5" s="145"/>
      <c r="Z5" s="29"/>
      <c r="AA5" s="3"/>
      <c r="AB5" s="3"/>
      <c r="AC5" s="61"/>
    </row>
    <row r="6" spans="1:29" s="6" customFormat="1" ht="19.5" customHeight="1">
      <c r="A6" s="3"/>
      <c r="B6" s="3"/>
      <c r="C6" s="3"/>
      <c r="D6" s="125">
        <v>2</v>
      </c>
      <c r="E6" s="222"/>
      <c r="F6" s="222"/>
      <c r="G6" s="223"/>
      <c r="H6" s="3"/>
      <c r="I6" s="3"/>
      <c r="J6" s="125">
        <v>6</v>
      </c>
      <c r="K6" s="222"/>
      <c r="L6" s="222"/>
      <c r="M6" s="223"/>
      <c r="N6" s="3"/>
      <c r="Q6" s="145"/>
      <c r="R6" s="145"/>
      <c r="S6" s="29"/>
      <c r="T6" s="171"/>
      <c r="U6" s="165">
        <f>IF(E16="","",E16)</f>
      </c>
      <c r="V6" s="166">
        <f>IF(K17="","",K17)</f>
      </c>
      <c r="W6" s="167"/>
      <c r="X6" s="29"/>
      <c r="Y6" s="145"/>
      <c r="Z6" s="29"/>
      <c r="AA6" s="3"/>
      <c r="AB6" s="3"/>
      <c r="AC6" s="61">
        <f>IF(V7="",1,IF(V6=V7,1,IF(V6&gt;V7,U6,U7)))</f>
        <v>1</v>
      </c>
    </row>
    <row r="7" spans="1:29" s="6" customFormat="1" ht="19.5" customHeight="1" thickBot="1">
      <c r="A7" s="3"/>
      <c r="B7" s="3"/>
      <c r="C7" s="3"/>
      <c r="D7" s="125">
        <v>3</v>
      </c>
      <c r="E7" s="222"/>
      <c r="F7" s="222"/>
      <c r="G7" s="223"/>
      <c r="H7" s="3"/>
      <c r="I7" s="3"/>
      <c r="J7" s="138">
        <v>7</v>
      </c>
      <c r="K7" s="207"/>
      <c r="L7" s="207"/>
      <c r="M7" s="208"/>
      <c r="N7" s="3"/>
      <c r="Q7" s="145"/>
      <c r="R7" s="145"/>
      <c r="S7" s="29"/>
      <c r="T7" s="170"/>
      <c r="U7" s="168">
        <f>IF(H16="","",H16)</f>
      </c>
      <c r="V7" s="169">
        <f>IF(M17="","",M17)</f>
      </c>
      <c r="W7" s="29"/>
      <c r="X7" s="170"/>
      <c r="Y7" s="145"/>
      <c r="Z7" s="29"/>
      <c r="AA7" s="3"/>
      <c r="AB7" s="3"/>
      <c r="AC7" s="61"/>
    </row>
    <row r="8" spans="1:29" s="6" customFormat="1" ht="19.5" customHeight="1" thickBot="1">
      <c r="A8" s="3"/>
      <c r="B8" s="3"/>
      <c r="C8" s="3"/>
      <c r="D8" s="138">
        <v>4</v>
      </c>
      <c r="E8" s="238"/>
      <c r="F8" s="238"/>
      <c r="G8" s="239"/>
      <c r="H8" s="3"/>
      <c r="I8" s="3"/>
      <c r="J8" s="3"/>
      <c r="K8" s="3"/>
      <c r="L8" s="3"/>
      <c r="M8" s="3"/>
      <c r="N8" s="3"/>
      <c r="Q8" s="165">
        <f>IF(E7="","",E7)</f>
      </c>
      <c r="R8" s="166">
        <f>IF(K12="","",K12)</f>
      </c>
      <c r="S8" s="167"/>
      <c r="T8" s="170"/>
      <c r="U8" s="145"/>
      <c r="V8" s="29"/>
      <c r="W8" s="29"/>
      <c r="X8" s="170"/>
      <c r="Y8" s="145"/>
      <c r="Z8" s="29"/>
      <c r="AA8" s="3"/>
      <c r="AB8" s="3"/>
      <c r="AC8" s="61">
        <f>IF(R9="",1,IF(R8=R9,1,IF(R8&gt;R9,Q8,Q9)))</f>
        <v>1</v>
      </c>
    </row>
    <row r="9" spans="17:29" ht="19.5" customHeight="1" thickBot="1">
      <c r="Q9" s="168">
        <f>IF(E8="","",E8)</f>
      </c>
      <c r="R9" s="169">
        <f>IF(M12="","",M12)</f>
      </c>
      <c r="S9" s="29"/>
      <c r="X9" s="172"/>
      <c r="Y9" s="286" t="s">
        <v>142</v>
      </c>
      <c r="Z9" s="286"/>
      <c r="AC9" s="61"/>
    </row>
    <row r="10" spans="1:29" s="6" customFormat="1" ht="19.5" customHeight="1">
      <c r="A10" s="29"/>
      <c r="B10" s="229" t="s">
        <v>130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1"/>
      <c r="N10" s="3"/>
      <c r="Q10" s="145"/>
      <c r="R10" s="145"/>
      <c r="S10" s="29"/>
      <c r="T10" s="29"/>
      <c r="U10" s="145"/>
      <c r="V10" s="29"/>
      <c r="W10" s="29"/>
      <c r="X10" s="171"/>
      <c r="Y10" s="165">
        <f>IF(E23="","",E23)</f>
      </c>
      <c r="Z10" s="166">
        <f>IF(K23="","",K23)</f>
      </c>
      <c r="AA10" s="173"/>
      <c r="AB10" s="3"/>
      <c r="AC10" s="61">
        <f>IF(Z11="",1,IF(Z10=Z11,1,IF(Z10&gt;Z11,Y10,Y11)))</f>
        <v>1</v>
      </c>
    </row>
    <row r="11" spans="1:29" s="6" customFormat="1" ht="19.5" customHeight="1" thickBot="1">
      <c r="A11" s="47"/>
      <c r="B11" s="99" t="s">
        <v>27</v>
      </c>
      <c r="C11" s="218" t="s">
        <v>10</v>
      </c>
      <c r="D11" s="219"/>
      <c r="E11" s="224">
        <f>IF(E5="","",E5)</f>
      </c>
      <c r="F11" s="225"/>
      <c r="G11" s="226"/>
      <c r="H11" s="210">
        <f>IF(E6="","",E6)</f>
      </c>
      <c r="I11" s="210"/>
      <c r="J11" s="211"/>
      <c r="K11" s="30"/>
      <c r="L11" s="14" t="s">
        <v>0</v>
      </c>
      <c r="M11" s="31"/>
      <c r="N11" s="3"/>
      <c r="Q11" s="145"/>
      <c r="R11" s="145"/>
      <c r="S11" s="29"/>
      <c r="T11" s="29"/>
      <c r="U11" s="145"/>
      <c r="V11" s="29"/>
      <c r="W11" s="29"/>
      <c r="X11" s="170"/>
      <c r="Y11" s="168">
        <f>IF(H23="","",H23)</f>
      </c>
      <c r="Z11" s="169">
        <f>IF(M23="","",M23)</f>
      </c>
      <c r="AA11" s="3"/>
      <c r="AB11" s="3"/>
      <c r="AC11" s="61"/>
    </row>
    <row r="12" spans="1:29" s="6" customFormat="1" ht="19.5" customHeight="1">
      <c r="A12" s="47"/>
      <c r="B12" s="99" t="s">
        <v>28</v>
      </c>
      <c r="C12" s="218" t="s">
        <v>52</v>
      </c>
      <c r="D12" s="219"/>
      <c r="E12" s="209">
        <f>IF(E7="","",E7)</f>
      </c>
      <c r="F12" s="209"/>
      <c r="G12" s="209"/>
      <c r="H12" s="210">
        <f>IF(E8="","",E8)</f>
      </c>
      <c r="I12" s="210"/>
      <c r="J12" s="211"/>
      <c r="K12" s="30"/>
      <c r="L12" s="14" t="s">
        <v>0</v>
      </c>
      <c r="M12" s="31"/>
      <c r="N12" s="3"/>
      <c r="Q12" s="165">
        <f>IF(E13="","",E13)</f>
      </c>
      <c r="R12" s="166">
        <f>IF(K13="","",K13)</f>
      </c>
      <c r="S12" s="167"/>
      <c r="T12" s="29"/>
      <c r="U12" s="145"/>
      <c r="V12" s="29"/>
      <c r="W12" s="29"/>
      <c r="X12" s="170"/>
      <c r="AA12" s="3"/>
      <c r="AB12" s="3"/>
      <c r="AC12" s="61">
        <f>IF(R13="",1,IF(R12=R13,1,IF(R12&gt;R13,Q12,Q13)))</f>
        <v>1</v>
      </c>
    </row>
    <row r="13" spans="1:29" s="6" customFormat="1" ht="19.5" customHeight="1" thickBot="1">
      <c r="A13" s="47"/>
      <c r="B13" s="102" t="s">
        <v>29</v>
      </c>
      <c r="C13" s="216" t="s">
        <v>87</v>
      </c>
      <c r="D13" s="217"/>
      <c r="E13" s="204">
        <f>IF(K5="","",K5)</f>
      </c>
      <c r="F13" s="204"/>
      <c r="G13" s="204"/>
      <c r="H13" s="213">
        <f>IF(K6="","",K6)</f>
      </c>
      <c r="I13" s="213"/>
      <c r="J13" s="214"/>
      <c r="K13" s="33"/>
      <c r="L13" s="25" t="s">
        <v>0</v>
      </c>
      <c r="M13" s="34"/>
      <c r="N13" s="3"/>
      <c r="Q13" s="168">
        <f>IF(H13="","",H13)</f>
      </c>
      <c r="R13" s="169">
        <f>IF(M13="","",M13)</f>
      </c>
      <c r="S13" s="29"/>
      <c r="T13" s="170"/>
      <c r="U13" s="145"/>
      <c r="V13" s="29"/>
      <c r="W13" s="29"/>
      <c r="X13" s="170"/>
      <c r="Y13" s="282" t="s">
        <v>143</v>
      </c>
      <c r="Z13" s="282"/>
      <c r="AA13" s="173"/>
      <c r="AB13" s="3"/>
      <c r="AC13" s="61">
        <f>IF(Z14="",1,IF(Z14=Z15,1,IF(Z14&gt;Z15,Y14,Y15)))</f>
        <v>1</v>
      </c>
    </row>
    <row r="14" spans="1:30" ht="19.5" customHeight="1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Q14" s="145"/>
      <c r="R14" s="145"/>
      <c r="S14" s="29"/>
      <c r="T14" s="171"/>
      <c r="U14" s="165">
        <f>IF(E17="","",E17)</f>
      </c>
      <c r="V14" s="166">
        <f>IF(K18="","",K18)</f>
      </c>
      <c r="W14" s="167"/>
      <c r="X14" s="170"/>
      <c r="Y14" s="165">
        <f>IF(E22="","",E22)</f>
      </c>
      <c r="Z14" s="166">
        <f>IF(K22="","",K22)</f>
      </c>
      <c r="AA14" s="3"/>
      <c r="AB14" s="3"/>
      <c r="AC14" s="61">
        <f>IF(V15="",1,IF(V14=V15,1,IF(V14&gt;V15,U14,U15)))</f>
        <v>1</v>
      </c>
      <c r="AD14" s="6"/>
    </row>
    <row r="15" spans="1:30" s="6" customFormat="1" ht="19.5" customHeight="1" thickBot="1">
      <c r="A15" s="29"/>
      <c r="B15" s="229" t="s">
        <v>131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1"/>
      <c r="N15" s="3"/>
      <c r="Q15" s="164"/>
      <c r="R15" s="164"/>
      <c r="S15" s="2"/>
      <c r="T15" s="172"/>
      <c r="U15" s="168">
        <f>IF(E17="","",Q16)</f>
      </c>
      <c r="V15" s="169">
        <f>IF(M18="","",M18)</f>
      </c>
      <c r="W15" s="2"/>
      <c r="X15" s="2"/>
      <c r="Y15" s="168">
        <f>IF(H22="","",H22)</f>
      </c>
      <c r="Z15" s="169">
        <f>IF(M22="","",M22)</f>
      </c>
      <c r="AA15" s="1"/>
      <c r="AB15" s="1"/>
      <c r="AC15" s="61"/>
      <c r="AD15"/>
    </row>
    <row r="16" spans="1:28" s="6" customFormat="1" ht="19.5" customHeight="1">
      <c r="A16" s="47"/>
      <c r="B16" s="99" t="s">
        <v>31</v>
      </c>
      <c r="C16" s="218" t="s">
        <v>124</v>
      </c>
      <c r="D16" s="219"/>
      <c r="E16" s="224">
        <f>IF(M11="","",IF(K11&gt;M11,E11,H11))</f>
      </c>
      <c r="F16" s="225"/>
      <c r="G16" s="226"/>
      <c r="H16" s="210">
        <f>IF(M12="","",IF(K12&gt;M12,E12,H12))</f>
      </c>
      <c r="I16" s="210"/>
      <c r="J16" s="211"/>
      <c r="K16" s="30"/>
      <c r="L16" s="14" t="s">
        <v>0</v>
      </c>
      <c r="M16" s="31"/>
      <c r="N16" s="3"/>
      <c r="Q16" s="165">
        <f>IF(K7="","",K7)</f>
      </c>
      <c r="R16" s="166">
        <f>IF(K14="","",K14)</f>
      </c>
      <c r="S16" s="167"/>
      <c r="T16" s="170"/>
      <c r="U16" s="145"/>
      <c r="V16" s="29"/>
      <c r="W16" s="29"/>
      <c r="X16" s="29"/>
      <c r="AA16" s="3"/>
      <c r="AB16" s="3"/>
    </row>
    <row r="17" spans="1:29" s="6" customFormat="1" ht="19.5" customHeight="1" thickBot="1">
      <c r="A17" s="47"/>
      <c r="B17" s="99" t="s">
        <v>32</v>
      </c>
      <c r="C17" s="218" t="s">
        <v>135</v>
      </c>
      <c r="D17" s="219"/>
      <c r="E17" s="209">
        <f>IF(M13="","",IF(K13&gt;M13,E13,H13))</f>
      </c>
      <c r="F17" s="209"/>
      <c r="G17" s="209"/>
      <c r="H17" s="210">
        <f>IF(M11="","",K7)</f>
      </c>
      <c r="I17" s="210"/>
      <c r="J17" s="211"/>
      <c r="K17" s="30"/>
      <c r="L17" s="14" t="s">
        <v>0</v>
      </c>
      <c r="M17" s="31"/>
      <c r="N17" s="3"/>
      <c r="Q17" s="168">
        <f>IF(K7="","","volný los")</f>
      </c>
      <c r="R17" s="169">
        <f>IF(M14="","",M14)</f>
      </c>
      <c r="S17" s="29"/>
      <c r="T17" s="29"/>
      <c r="U17" s="145"/>
      <c r="V17" s="29"/>
      <c r="W17" s="29"/>
      <c r="X17" s="29"/>
      <c r="AA17" s="3"/>
      <c r="AB17" s="3"/>
      <c r="AC17" s="61"/>
    </row>
    <row r="18" spans="1:29" s="6" customFormat="1" ht="19.5" customHeight="1" thickBot="1">
      <c r="A18" s="47"/>
      <c r="B18" s="102" t="s">
        <v>33</v>
      </c>
      <c r="C18" s="216" t="s">
        <v>126</v>
      </c>
      <c r="D18" s="217"/>
      <c r="E18" s="204">
        <f>IF(M11="","",IF(K11&gt;M11,H11,E11))</f>
      </c>
      <c r="F18" s="204"/>
      <c r="G18" s="204"/>
      <c r="H18" s="213">
        <f>IF(M12="","",IF(K12&gt;M12,H12,E12))</f>
      </c>
      <c r="I18" s="213"/>
      <c r="J18" s="214"/>
      <c r="K18" s="33"/>
      <c r="L18" s="25" t="s">
        <v>0</v>
      </c>
      <c r="M18" s="34"/>
      <c r="N18" s="3"/>
      <c r="Q18" s="145"/>
      <c r="R18" s="145"/>
      <c r="S18" s="29"/>
      <c r="T18" s="29"/>
      <c r="U18" s="84"/>
      <c r="V18" s="3"/>
      <c r="W18" s="3"/>
      <c r="X18" s="3"/>
      <c r="Y18" s="84"/>
      <c r="Z18" s="3"/>
      <c r="AA18" s="3"/>
      <c r="AB18" s="3"/>
      <c r="AC18" s="61"/>
    </row>
    <row r="19" spans="1:30" ht="19.5" customHeight="1" thickBot="1">
      <c r="A19" s="29"/>
      <c r="B19" s="29"/>
      <c r="C19" s="29"/>
      <c r="H19" s="29"/>
      <c r="I19" s="29"/>
      <c r="J19" s="29"/>
      <c r="K19" s="29"/>
      <c r="L19" s="29"/>
      <c r="M19" s="29"/>
      <c r="U19" s="282" t="s">
        <v>145</v>
      </c>
      <c r="V19" s="282"/>
      <c r="W19" s="29"/>
      <c r="Y19" s="285" t="s">
        <v>146</v>
      </c>
      <c r="Z19" s="285"/>
      <c r="AA19" s="3"/>
      <c r="AB19" s="3"/>
      <c r="AC19" s="61"/>
      <c r="AD19" s="6"/>
    </row>
    <row r="20" spans="1:29" s="6" customFormat="1" ht="19.5" customHeight="1">
      <c r="A20" s="29"/>
      <c r="B20" s="229" t="s">
        <v>132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1"/>
      <c r="N20" s="3"/>
      <c r="Q20" s="164"/>
      <c r="R20" s="164"/>
      <c r="U20" s="165">
        <f>IF(E18="","",E18)</f>
      </c>
      <c r="V20" s="166">
        <f>IF(K18="","",K18)</f>
      </c>
      <c r="W20" s="167"/>
      <c r="X20" s="175"/>
      <c r="Y20" s="165">
        <f>IF(E21="","",E21)</f>
      </c>
      <c r="Z20" s="166">
        <f>IF(K21="","",K21)</f>
      </c>
      <c r="AA20" s="3"/>
      <c r="AB20" s="3"/>
      <c r="AC20" s="61">
        <f>IF(V20="",1,IF(V20=V21,1,IF(V20&gt;V21,U20,U21)))</f>
        <v>1</v>
      </c>
    </row>
    <row r="21" spans="1:30" s="6" customFormat="1" ht="19.5" customHeight="1" thickBot="1">
      <c r="A21" s="47"/>
      <c r="B21" s="99" t="s">
        <v>37</v>
      </c>
      <c r="C21" s="218" t="s">
        <v>129</v>
      </c>
      <c r="D21" s="219"/>
      <c r="E21" s="209">
        <f>IF(M18="","",IF(K18&gt;M18,E18,H18))</f>
      </c>
      <c r="F21" s="209"/>
      <c r="G21" s="209"/>
      <c r="H21" s="210">
        <f>IF(M13="","",IF(K13&gt;M13,H13,E13))</f>
      </c>
      <c r="I21" s="210"/>
      <c r="J21" s="211"/>
      <c r="K21" s="30"/>
      <c r="L21" s="14" t="s">
        <v>0</v>
      </c>
      <c r="M21" s="31"/>
      <c r="N21" s="3"/>
      <c r="Q21" s="164"/>
      <c r="R21" s="164"/>
      <c r="U21" s="168">
        <f>IF(H18="","",H18)</f>
      </c>
      <c r="V21" s="169">
        <f>IF(M18="","",M18)</f>
      </c>
      <c r="W21" s="29"/>
      <c r="X21" s="2"/>
      <c r="Y21" s="168">
        <f>IF(H21="","",H21)</f>
      </c>
      <c r="Z21" s="169">
        <f>IF(M21="","",M21)</f>
      </c>
      <c r="AA21" s="1"/>
      <c r="AB21" s="1"/>
      <c r="AC21" s="61">
        <f>IF(Z20="",1,IF(Z20=Z21,1,IF(Z20&gt;Z21,Y20,Y21)))</f>
        <v>1</v>
      </c>
      <c r="AD21"/>
    </row>
    <row r="22" spans="1:29" s="6" customFormat="1" ht="19.5" customHeight="1">
      <c r="A22" s="47"/>
      <c r="B22" s="99" t="s">
        <v>38</v>
      </c>
      <c r="C22" s="218" t="s">
        <v>43</v>
      </c>
      <c r="D22" s="219"/>
      <c r="E22" s="209">
        <f>IF(M16="","",IF(K16&gt;M16,H16,E16))</f>
      </c>
      <c r="F22" s="209"/>
      <c r="G22" s="209"/>
      <c r="H22" s="210">
        <f>IF(M17="","",IF(K17&gt;M17,H17,E17))</f>
      </c>
      <c r="I22" s="210"/>
      <c r="J22" s="211"/>
      <c r="K22" s="30"/>
      <c r="L22" s="14" t="s">
        <v>0</v>
      </c>
      <c r="M22" s="31"/>
      <c r="N22" s="3"/>
      <c r="Q22" s="164"/>
      <c r="R22" s="164"/>
      <c r="X22" s="2"/>
      <c r="Y22" s="164"/>
      <c r="AA22" s="3"/>
      <c r="AB22" s="3"/>
      <c r="AC22" s="61"/>
    </row>
    <row r="23" spans="1:29" s="6" customFormat="1" ht="19.5" customHeight="1" thickBot="1">
      <c r="A23" s="47"/>
      <c r="B23" s="101" t="s">
        <v>39</v>
      </c>
      <c r="C23" s="250" t="s">
        <v>46</v>
      </c>
      <c r="D23" s="251"/>
      <c r="E23" s="235">
        <f>IF(M16="","",IF(K16&gt;M16,E16,H16))</f>
      </c>
      <c r="F23" s="235"/>
      <c r="G23" s="235"/>
      <c r="H23" s="248">
        <f>IF(M17="","",IF(K17&gt;M17,E17,H17))</f>
      </c>
      <c r="I23" s="248"/>
      <c r="J23" s="249"/>
      <c r="K23" s="50"/>
      <c r="L23" s="43" t="s">
        <v>0</v>
      </c>
      <c r="M23" s="44"/>
      <c r="N23" s="3"/>
      <c r="Q23" s="164"/>
      <c r="R23" s="164"/>
      <c r="X23" s="2"/>
      <c r="Y23" s="164"/>
      <c r="AA23" s="3"/>
      <c r="AB23" s="3"/>
      <c r="AC23" s="61"/>
    </row>
    <row r="24" spans="27:30" ht="16.5" thickBot="1">
      <c r="AA24" s="173"/>
      <c r="AB24" s="3"/>
      <c r="AC24" s="61"/>
      <c r="AD24" s="6"/>
    </row>
    <row r="25" spans="4:30" ht="19.5" customHeight="1">
      <c r="D25" s="227" t="s">
        <v>112</v>
      </c>
      <c r="E25" s="212"/>
      <c r="F25" s="212"/>
      <c r="G25" s="228"/>
      <c r="S25" s="227" t="s">
        <v>112</v>
      </c>
      <c r="T25" s="212"/>
      <c r="U25" s="212"/>
      <c r="V25" s="228"/>
      <c r="AC25" s="61"/>
      <c r="AD25" s="6"/>
    </row>
    <row r="26" spans="4:30" ht="19.5" customHeight="1">
      <c r="D26" s="99" t="s">
        <v>27</v>
      </c>
      <c r="E26" s="210">
        <f>IF(M23="","",IF(K23&gt;M23,E23,H23))</f>
      </c>
      <c r="F26" s="210"/>
      <c r="G26" s="263"/>
      <c r="S26" s="283" t="s">
        <v>27</v>
      </c>
      <c r="T26" s="284"/>
      <c r="U26" s="210">
        <f aca="true" t="shared" si="0" ref="U26:U32">IF(E26="","",E26)</f>
      </c>
      <c r="V26" s="263"/>
      <c r="AC26" s="61"/>
      <c r="AD26" s="6"/>
    </row>
    <row r="27" spans="4:29" ht="19.5" customHeight="1">
      <c r="D27" s="99" t="s">
        <v>28</v>
      </c>
      <c r="E27" s="210">
        <f>IF(M23="","",IF(K23&gt;M23,H23,E23))</f>
      </c>
      <c r="F27" s="210"/>
      <c r="G27" s="263"/>
      <c r="S27" s="283" t="s">
        <v>28</v>
      </c>
      <c r="T27" s="284"/>
      <c r="U27" s="210">
        <f t="shared" si="0"/>
      </c>
      <c r="V27" s="263"/>
      <c r="AC27" s="61"/>
    </row>
    <row r="28" spans="4:29" ht="19.5" customHeight="1">
      <c r="D28" s="99" t="s">
        <v>29</v>
      </c>
      <c r="E28" s="210">
        <f>IF(M22="","",IF(K22&gt;M22,E22,H22))</f>
      </c>
      <c r="F28" s="210"/>
      <c r="G28" s="263"/>
      <c r="S28" s="283" t="s">
        <v>29</v>
      </c>
      <c r="T28" s="284"/>
      <c r="U28" s="210">
        <f t="shared" si="0"/>
      </c>
      <c r="V28" s="263"/>
      <c r="AC28" s="61"/>
    </row>
    <row r="29" spans="4:29" ht="19.5" customHeight="1">
      <c r="D29" s="99" t="s">
        <v>31</v>
      </c>
      <c r="E29" s="210">
        <f>IF(M22="","",IF(K22&gt;M22,H22,E22))</f>
      </c>
      <c r="F29" s="210"/>
      <c r="G29" s="263"/>
      <c r="S29" s="283" t="s">
        <v>31</v>
      </c>
      <c r="T29" s="284"/>
      <c r="U29" s="210">
        <f t="shared" si="0"/>
      </c>
      <c r="V29" s="263"/>
      <c r="AC29" s="61"/>
    </row>
    <row r="30" spans="4:22" ht="19.5" customHeight="1">
      <c r="D30" s="99" t="s">
        <v>32</v>
      </c>
      <c r="E30" s="210">
        <f>IF(M21="","",IF(K21&gt;M21,E21,H21))</f>
      </c>
      <c r="F30" s="210"/>
      <c r="G30" s="263"/>
      <c r="S30" s="283" t="s">
        <v>32</v>
      </c>
      <c r="T30" s="284"/>
      <c r="U30" s="210">
        <f t="shared" si="0"/>
      </c>
      <c r="V30" s="263"/>
    </row>
    <row r="31" spans="4:22" ht="19.5" customHeight="1">
      <c r="D31" s="99" t="s">
        <v>33</v>
      </c>
      <c r="E31" s="210">
        <f>IF(M21="","",IF(K21&gt;M21,H21,E21))</f>
      </c>
      <c r="F31" s="210"/>
      <c r="G31" s="263"/>
      <c r="S31" s="283" t="s">
        <v>33</v>
      </c>
      <c r="T31" s="284"/>
      <c r="U31" s="210">
        <f t="shared" si="0"/>
      </c>
      <c r="V31" s="263"/>
    </row>
    <row r="32" spans="4:22" ht="19.5" customHeight="1" thickBot="1">
      <c r="D32" s="102" t="s">
        <v>37</v>
      </c>
      <c r="E32" s="213">
        <f>IF(M18="","",IF(K18&gt;M18,H18,E18))</f>
      </c>
      <c r="F32" s="213"/>
      <c r="G32" s="264"/>
      <c r="S32" s="280" t="s">
        <v>37</v>
      </c>
      <c r="T32" s="281"/>
      <c r="U32" s="213">
        <f t="shared" si="0"/>
      </c>
      <c r="V32" s="264"/>
    </row>
  </sheetData>
  <sheetProtection sheet="1" objects="1" scenarios="1"/>
  <mergeCells count="71">
    <mergeCell ref="H13:J13"/>
    <mergeCell ref="B10:M10"/>
    <mergeCell ref="E18:G18"/>
    <mergeCell ref="H18:J18"/>
    <mergeCell ref="A1:N1"/>
    <mergeCell ref="B15:M15"/>
    <mergeCell ref="C16:D16"/>
    <mergeCell ref="E16:G16"/>
    <mergeCell ref="H16:J16"/>
    <mergeCell ref="C13:D13"/>
    <mergeCell ref="C12:D12"/>
    <mergeCell ref="C11:D11"/>
    <mergeCell ref="K5:M5"/>
    <mergeCell ref="K7:M7"/>
    <mergeCell ref="C21:D21"/>
    <mergeCell ref="E21:G21"/>
    <mergeCell ref="H21:J21"/>
    <mergeCell ref="B20:M20"/>
    <mergeCell ref="C17:D17"/>
    <mergeCell ref="E17:G17"/>
    <mergeCell ref="H17:J17"/>
    <mergeCell ref="C18:D18"/>
    <mergeCell ref="D4:G4"/>
    <mergeCell ref="J4:M4"/>
    <mergeCell ref="K6:M6"/>
    <mergeCell ref="E8:G8"/>
    <mergeCell ref="E13:G13"/>
    <mergeCell ref="E11:G11"/>
    <mergeCell ref="H11:J11"/>
    <mergeCell ref="E5:G5"/>
    <mergeCell ref="E6:G6"/>
    <mergeCell ref="E7:G7"/>
    <mergeCell ref="D25:G25"/>
    <mergeCell ref="C22:D22"/>
    <mergeCell ref="E22:G22"/>
    <mergeCell ref="H22:J22"/>
    <mergeCell ref="C23:D23"/>
    <mergeCell ref="E23:G23"/>
    <mergeCell ref="H23:J23"/>
    <mergeCell ref="A2:M2"/>
    <mergeCell ref="E30:G30"/>
    <mergeCell ref="E31:G31"/>
    <mergeCell ref="E32:G32"/>
    <mergeCell ref="E12:G12"/>
    <mergeCell ref="H12:J12"/>
    <mergeCell ref="E26:G26"/>
    <mergeCell ref="E27:G27"/>
    <mergeCell ref="E28:G28"/>
    <mergeCell ref="E29:G29"/>
    <mergeCell ref="Y13:Z13"/>
    <mergeCell ref="Y19:Z19"/>
    <mergeCell ref="Q1:Z1"/>
    <mergeCell ref="Q3:R3"/>
    <mergeCell ref="U5:V5"/>
    <mergeCell ref="Y9:Z9"/>
    <mergeCell ref="U29:V29"/>
    <mergeCell ref="S25:V25"/>
    <mergeCell ref="S26:T26"/>
    <mergeCell ref="U26:V26"/>
    <mergeCell ref="S27:T27"/>
    <mergeCell ref="U27:V27"/>
    <mergeCell ref="S32:T32"/>
    <mergeCell ref="U32:V32"/>
    <mergeCell ref="U19:V19"/>
    <mergeCell ref="S30:T30"/>
    <mergeCell ref="U30:V30"/>
    <mergeCell ref="S31:T31"/>
    <mergeCell ref="U31:V31"/>
    <mergeCell ref="S28:T28"/>
    <mergeCell ref="U28:V28"/>
    <mergeCell ref="S29:T29"/>
  </mergeCells>
  <conditionalFormatting sqref="Y14:Y15">
    <cfRule type="cellIs" priority="1" dxfId="0" operator="equal" stopIfTrue="1">
      <formula>$AC$13</formula>
    </cfRule>
  </conditionalFormatting>
  <conditionalFormatting sqref="Y20:Y21 Q17">
    <cfRule type="cellIs" priority="2" dxfId="0" operator="equal" stopIfTrue="1">
      <formula>$AC$21</formula>
    </cfRule>
  </conditionalFormatting>
  <conditionalFormatting sqref="Q4:Q5">
    <cfRule type="cellIs" priority="3" dxfId="0" operator="equal" stopIfTrue="1">
      <formula>$AC$4</formula>
    </cfRule>
  </conditionalFormatting>
  <conditionalFormatting sqref="Q8:Q9">
    <cfRule type="cellIs" priority="4" dxfId="0" operator="equal" stopIfTrue="1">
      <formula>$AC$8</formula>
    </cfRule>
  </conditionalFormatting>
  <conditionalFormatting sqref="Q12:Q13">
    <cfRule type="cellIs" priority="5" dxfId="0" operator="equal" stopIfTrue="1">
      <formula>$AC$12</formula>
    </cfRule>
  </conditionalFormatting>
  <conditionalFormatting sqref="U6:U7">
    <cfRule type="cellIs" priority="6" dxfId="0" operator="equal" stopIfTrue="1">
      <formula>$AC$6</formula>
    </cfRule>
  </conditionalFormatting>
  <conditionalFormatting sqref="Y10:Y11">
    <cfRule type="cellIs" priority="7" dxfId="0" operator="equal" stopIfTrue="1">
      <formula>$AC$10</formula>
    </cfRule>
  </conditionalFormatting>
  <conditionalFormatting sqref="U14:U15">
    <cfRule type="cellIs" priority="8" dxfId="0" operator="equal" stopIfTrue="1">
      <formula>$AC$14</formula>
    </cfRule>
  </conditionalFormatting>
  <conditionalFormatting sqref="U20:U21">
    <cfRule type="cellIs" priority="9" dxfId="0" operator="equal" stopIfTrue="1">
      <formula>$AC$20</formula>
    </cfRule>
  </conditionalFormatting>
  <conditionalFormatting sqref="Q16">
    <cfRule type="cellIs" priority="10" dxfId="0" operator="notEqual" stopIfTrue="1">
      <formula>$Q$18</formula>
    </cfRule>
  </conditionalFormatting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Hodonín, Vančurova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3-9</dc:title>
  <dc:subject>aktivní turnajové tabulky</dc:subject>
  <dc:creator>PaedDr. Zdeněk Šebesta</dc:creator>
  <cp:keywords/>
  <dc:description/>
  <cp:lastModifiedBy>Radovan Lano</cp:lastModifiedBy>
  <cp:lastPrinted>2016-05-10T19:46:41Z</cp:lastPrinted>
  <dcterms:created xsi:type="dcterms:W3CDTF">2012-06-05T18:54:27Z</dcterms:created>
  <dcterms:modified xsi:type="dcterms:W3CDTF">2017-04-07T14:49:07Z</dcterms:modified>
  <cp:category/>
  <cp:version/>
  <cp:contentType/>
  <cp:contentStatus/>
</cp:coreProperties>
</file>